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filterPrivacy="1" defaultThemeVersion="124226"/>
  <xr:revisionPtr revIDLastSave="0" documentId="8_{CE3A648E-C18D-43F3-9F8E-62C4FE11E525}" xr6:coauthVersionLast="36" xr6:coauthVersionMax="36" xr10:uidLastSave="{00000000-0000-0000-0000-000000000000}"/>
  <bookViews>
    <workbookView xWindow="-110" yWindow="-110" windowWidth="19420" windowHeight="10420" tabRatio="900" firstSheet="1" activeTab="1" xr2:uid="{00000000-000D-0000-FFFF-FFFF00000000}"/>
  </bookViews>
  <sheets>
    <sheet name="Ohje" sheetId="30" r:id="rId1"/>
    <sheet name="Hankinnan perustiedot" sheetId="36" r:id="rId2"/>
    <sheet name="Esiehdot" sheetId="26" r:id="rId3"/>
    <sheet name="Hankintaehtojen määrittely" sheetId="29" r:id="rId4"/>
    <sheet name="Hallinnollinen turvallisuus" sheetId="32" r:id="rId5"/>
    <sheet name="Fyysinen turvallisuus" sheetId="33" r:id="rId6"/>
    <sheet name="Tekninen turvallisuus" sheetId="34" r:id="rId7"/>
    <sheet name="Varautuminen ja jatkuvuudenhall" sheetId="35" r:id="rId8"/>
    <sheet name="Lisävaatimukset" sheetId="37" r:id="rId9"/>
    <sheet name="Käyttötapauskuvaukset" sheetId="28" r:id="rId10"/>
    <sheet name="Käyttötapauskriteerit" sheetId="27" r:id="rId11"/>
    <sheet name="Kriteeristö" sheetId="21" state="hidden" r:id="rId12"/>
    <sheet name="Hankintaehtojen kooste" sheetId="31" state="hidden" r:id="rId13"/>
    <sheet name="Valintalistat" sheetId="20" state="hidden" r:id="rId14"/>
  </sheets>
  <definedNames>
    <definedName name="_xlnm._FilterDatabase" localSheetId="12" hidden="1">'Hankintaehtojen kooste'!$D$1:$D$501</definedName>
    <definedName name="_xlnm._FilterDatabase" localSheetId="3" hidden="1">'Hankintaehtojen määrittely'!$A$1:$H$501</definedName>
    <definedName name="_xlnm._FilterDatabase" localSheetId="11" hidden="1">Kriteeristö!$A$1:$R$223</definedName>
    <definedName name="_xlnm._FilterDatabase" localSheetId="10" hidden="1">Käyttötapauskriteerit!$A$1:$R$223</definedName>
    <definedName name="INDIRECT">#REF!</definedName>
    <definedName name="_xlnm.Print_Titles" localSheetId="4">'Hallinnollinen turvallisuus'!$2:$2</definedName>
  </definedNames>
  <calcPr calcId="191028"/>
</workbook>
</file>

<file path=xl/calcChain.xml><?xml version="1.0" encoding="utf-8"?>
<calcChain xmlns="http://schemas.openxmlformats.org/spreadsheetml/2006/main">
  <c r="C38" i="29" l="1"/>
  <c r="C38" i="31"/>
  <c r="C18" i="29"/>
  <c r="C18" i="31"/>
  <c r="C17" i="29"/>
  <c r="D14" i="26"/>
  <c r="AN224" i="21"/>
  <c r="AN225" i="21"/>
  <c r="AN226" i="21"/>
  <c r="AN227" i="21"/>
  <c r="AN228" i="21"/>
  <c r="AN229" i="21"/>
  <c r="AN230" i="21"/>
  <c r="AN231" i="21"/>
  <c r="AN232" i="21"/>
  <c r="AN233" i="21"/>
  <c r="AN234" i="21"/>
  <c r="AN235" i="21"/>
  <c r="AN236" i="21"/>
  <c r="AN237" i="21"/>
  <c r="AN238" i="21"/>
  <c r="AN239" i="21"/>
  <c r="AN240" i="21"/>
  <c r="AN241" i="21"/>
  <c r="AN242" i="21"/>
  <c r="AN243" i="21"/>
  <c r="AN244" i="21"/>
  <c r="AN245" i="21"/>
  <c r="AN246" i="21"/>
  <c r="AN247" i="21"/>
  <c r="AN248" i="21"/>
  <c r="AN249" i="21"/>
  <c r="AN250" i="21"/>
  <c r="AN251" i="21"/>
  <c r="AN252" i="21"/>
  <c r="AN253" i="21"/>
  <c r="AN254" i="21"/>
  <c r="AN255" i="21"/>
  <c r="AN256" i="21"/>
  <c r="AN257" i="21"/>
  <c r="AN258" i="21"/>
  <c r="AN259" i="21"/>
  <c r="AN260" i="21"/>
  <c r="AN261" i="21"/>
  <c r="AN262" i="21"/>
  <c r="AN263" i="21"/>
  <c r="AN264" i="21"/>
  <c r="AN265" i="21"/>
  <c r="AN266" i="21"/>
  <c r="AN267" i="21"/>
  <c r="AN268" i="21"/>
  <c r="AN269" i="21"/>
  <c r="AN270" i="21"/>
  <c r="AN271" i="21"/>
  <c r="AN272" i="21"/>
  <c r="AN273" i="21"/>
  <c r="AN274" i="21"/>
  <c r="AN275" i="21"/>
  <c r="AN276" i="21"/>
  <c r="AN277" i="21"/>
  <c r="AN278" i="21"/>
  <c r="AN279" i="21"/>
  <c r="AN280" i="21"/>
  <c r="AN281" i="21"/>
  <c r="AN282" i="21"/>
  <c r="AN283" i="21"/>
  <c r="AN284" i="21"/>
  <c r="AN285" i="21"/>
  <c r="AN286" i="21"/>
  <c r="AN287" i="21"/>
  <c r="AN288" i="21"/>
  <c r="AN289" i="21"/>
  <c r="AN290" i="21"/>
  <c r="AN291" i="21"/>
  <c r="AN292" i="21"/>
  <c r="AN293" i="21"/>
  <c r="AN294" i="21"/>
  <c r="AN295" i="21"/>
  <c r="AN296" i="21"/>
  <c r="AN297" i="21"/>
  <c r="AN298" i="21"/>
  <c r="AN299" i="21"/>
  <c r="AN300" i="21"/>
  <c r="AN301" i="21"/>
  <c r="AN302" i="21"/>
  <c r="AN303" i="21"/>
  <c r="AN304" i="21"/>
  <c r="AN305" i="21"/>
  <c r="AN306" i="21"/>
  <c r="AN307" i="21"/>
  <c r="AN308" i="21"/>
  <c r="AN309" i="21"/>
  <c r="AN310" i="21"/>
  <c r="AN311" i="21"/>
  <c r="AN312" i="21"/>
  <c r="AN313" i="21"/>
  <c r="AN314" i="21"/>
  <c r="AN315" i="21"/>
  <c r="AN316" i="21"/>
  <c r="AN317" i="21"/>
  <c r="AN318" i="21"/>
  <c r="AN319" i="21"/>
  <c r="AN320" i="21"/>
  <c r="AN321" i="21"/>
  <c r="AN322" i="21"/>
  <c r="AN323" i="21"/>
  <c r="AN324" i="21"/>
  <c r="AN325" i="21"/>
  <c r="AN326" i="21"/>
  <c r="AN327" i="21"/>
  <c r="AN328" i="21"/>
  <c r="AN329" i="21"/>
  <c r="AN330" i="21"/>
  <c r="AN331" i="21"/>
  <c r="AN332" i="21"/>
  <c r="AN333"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6" i="21"/>
  <c r="AN367" i="21"/>
  <c r="AN368" i="21"/>
  <c r="AN369" i="21"/>
  <c r="AN370" i="21"/>
  <c r="AN371" i="21"/>
  <c r="AN372" i="21"/>
  <c r="AN373" i="21"/>
  <c r="AN374" i="21"/>
  <c r="AN375" i="21"/>
  <c r="AN376" i="21"/>
  <c r="AN377" i="21"/>
  <c r="AN378" i="21"/>
  <c r="AN379" i="21"/>
  <c r="AN380" i="21"/>
  <c r="AN381" i="21"/>
  <c r="AN382" i="21"/>
  <c r="AN383" i="21"/>
  <c r="AN384"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19"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4" i="21"/>
  <c r="AN445" i="21"/>
  <c r="AN446" i="21"/>
  <c r="AN447" i="21"/>
  <c r="AN448" i="21"/>
  <c r="AN449" i="21"/>
  <c r="AN450" i="21"/>
  <c r="AN451" i="21"/>
  <c r="AN452" i="21"/>
  <c r="AN453" i="21"/>
  <c r="AN454" i="21"/>
  <c r="AN455" i="21"/>
  <c r="AN456" i="21"/>
  <c r="AN457" i="21"/>
  <c r="AN458" i="21"/>
  <c r="AN459" i="21"/>
  <c r="AN460" i="21"/>
  <c r="AN461" i="21"/>
  <c r="AN462"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499" i="21"/>
  <c r="AN500" i="21"/>
  <c r="AN501" i="21"/>
  <c r="U3" i="21"/>
  <c r="A3" i="29"/>
  <c r="U4" i="21"/>
  <c r="A4" i="29"/>
  <c r="U5" i="21"/>
  <c r="A5" i="29"/>
  <c r="U6" i="21"/>
  <c r="A6" i="29"/>
  <c r="U7" i="21"/>
  <c r="A7" i="29"/>
  <c r="U8" i="21"/>
  <c r="A8" i="29"/>
  <c r="U9" i="21"/>
  <c r="A9" i="29"/>
  <c r="U10" i="21"/>
  <c r="A10" i="31"/>
  <c r="U11" i="21"/>
  <c r="A11" i="31"/>
  <c r="U12" i="21"/>
  <c r="A12" i="31"/>
  <c r="U13" i="21"/>
  <c r="A13" i="29"/>
  <c r="U14" i="21"/>
  <c r="A14" i="29"/>
  <c r="U15" i="21"/>
  <c r="A15" i="29"/>
  <c r="U16" i="21"/>
  <c r="A16" i="29"/>
  <c r="U17" i="21"/>
  <c r="A17" i="29"/>
  <c r="U18" i="21"/>
  <c r="A18" i="31"/>
  <c r="U19" i="21"/>
  <c r="A19" i="31"/>
  <c r="U20" i="21"/>
  <c r="A20" i="31"/>
  <c r="U21" i="21"/>
  <c r="A21" i="29"/>
  <c r="U22" i="21"/>
  <c r="A22" i="29"/>
  <c r="U23" i="21"/>
  <c r="A23" i="29"/>
  <c r="U24" i="21"/>
  <c r="A24" i="29"/>
  <c r="U25" i="21"/>
  <c r="A25" i="29"/>
  <c r="U26" i="21"/>
  <c r="A26" i="31"/>
  <c r="U27" i="21"/>
  <c r="A27" i="31"/>
  <c r="U28" i="21"/>
  <c r="A28" i="31"/>
  <c r="U29" i="21"/>
  <c r="A29" i="29"/>
  <c r="U30" i="21"/>
  <c r="A30" i="29"/>
  <c r="U31" i="21"/>
  <c r="A31" i="29"/>
  <c r="U32" i="21"/>
  <c r="A32" i="29"/>
  <c r="U33" i="21"/>
  <c r="A33" i="29"/>
  <c r="U34" i="21"/>
  <c r="A34" i="31"/>
  <c r="U35" i="21"/>
  <c r="A35" i="31"/>
  <c r="U36" i="21"/>
  <c r="A36" i="31"/>
  <c r="U37" i="21"/>
  <c r="A37" i="29"/>
  <c r="U38" i="21"/>
  <c r="A38" i="29"/>
  <c r="U39" i="21"/>
  <c r="A39" i="29"/>
  <c r="U40" i="21"/>
  <c r="A40" i="29"/>
  <c r="U41" i="21"/>
  <c r="A41" i="29"/>
  <c r="U42" i="21"/>
  <c r="A42" i="31"/>
  <c r="U43" i="21"/>
  <c r="A43" i="31"/>
  <c r="U44" i="21"/>
  <c r="A44" i="31"/>
  <c r="U45" i="21"/>
  <c r="A45" i="29"/>
  <c r="U46" i="21"/>
  <c r="A46" i="29"/>
  <c r="U47" i="21"/>
  <c r="A47" i="29"/>
  <c r="U48" i="21"/>
  <c r="A48" i="29"/>
  <c r="U49" i="21"/>
  <c r="A49" i="29"/>
  <c r="U50" i="21"/>
  <c r="A50" i="29"/>
  <c r="U51" i="21"/>
  <c r="A51" i="31"/>
  <c r="U52" i="21"/>
  <c r="A52" i="31"/>
  <c r="U53" i="21"/>
  <c r="A53" i="31"/>
  <c r="U54" i="21"/>
  <c r="A54" i="29"/>
  <c r="U55" i="21"/>
  <c r="A55" i="29"/>
  <c r="U56" i="21"/>
  <c r="A56" i="29"/>
  <c r="U57" i="21"/>
  <c r="A57" i="29"/>
  <c r="U58" i="21"/>
  <c r="A58" i="29"/>
  <c r="U59" i="21"/>
  <c r="A59" i="31"/>
  <c r="U60" i="21"/>
  <c r="A60" i="29"/>
  <c r="U61" i="21"/>
  <c r="A61" i="31"/>
  <c r="U62" i="21"/>
  <c r="A62" i="29"/>
  <c r="U63" i="21"/>
  <c r="A63" i="29"/>
  <c r="U64" i="21"/>
  <c r="A64" i="29"/>
  <c r="U65" i="21"/>
  <c r="A65" i="29"/>
  <c r="U66" i="21"/>
  <c r="A66" i="29"/>
  <c r="U67" i="21"/>
  <c r="A67" i="31"/>
  <c r="U68" i="21"/>
  <c r="A68" i="31"/>
  <c r="U69" i="21"/>
  <c r="A69" i="31"/>
  <c r="U70" i="21"/>
  <c r="A70" i="29"/>
  <c r="U71" i="21"/>
  <c r="A71" i="29"/>
  <c r="U72" i="21"/>
  <c r="A72" i="29"/>
  <c r="U73" i="21"/>
  <c r="A73" i="29"/>
  <c r="U74" i="21"/>
  <c r="A74" i="29"/>
  <c r="U75" i="21"/>
  <c r="A75" i="31"/>
  <c r="U76" i="21"/>
  <c r="A76" i="31"/>
  <c r="U77" i="21"/>
  <c r="A77" i="31"/>
  <c r="U78" i="21"/>
  <c r="A78" i="29"/>
  <c r="U79" i="21"/>
  <c r="A79" i="29"/>
  <c r="U80" i="21"/>
  <c r="A80" i="29"/>
  <c r="U81" i="21"/>
  <c r="A81" i="29"/>
  <c r="U82" i="21"/>
  <c r="A82" i="29"/>
  <c r="U83" i="21"/>
  <c r="A83" i="31"/>
  <c r="U84" i="21"/>
  <c r="A84" i="31"/>
  <c r="U85" i="21"/>
  <c r="A85" i="31"/>
  <c r="U86" i="21"/>
  <c r="A86" i="29"/>
  <c r="U87" i="21"/>
  <c r="A87" i="29"/>
  <c r="U88" i="21"/>
  <c r="A88" i="31"/>
  <c r="U89" i="21"/>
  <c r="A89" i="29"/>
  <c r="U90" i="21"/>
  <c r="A90" i="29"/>
  <c r="U91" i="21"/>
  <c r="A91" i="31"/>
  <c r="U92" i="21"/>
  <c r="A92" i="31"/>
  <c r="U93" i="21"/>
  <c r="A93" i="31"/>
  <c r="U94" i="21"/>
  <c r="A94" i="29"/>
  <c r="U95" i="21"/>
  <c r="A95" i="29"/>
  <c r="U96" i="21"/>
  <c r="A96" i="29"/>
  <c r="U97" i="21"/>
  <c r="A97" i="29"/>
  <c r="U98" i="21"/>
  <c r="A98" i="29"/>
  <c r="U99" i="21"/>
  <c r="A99" i="31"/>
  <c r="U100" i="21"/>
  <c r="A100" i="31"/>
  <c r="U101" i="21"/>
  <c r="A101" i="31"/>
  <c r="U102" i="21"/>
  <c r="A102" i="29"/>
  <c r="U103" i="21"/>
  <c r="A103" i="29"/>
  <c r="U104" i="21"/>
  <c r="A104" i="29"/>
  <c r="U105" i="21"/>
  <c r="A105" i="29"/>
  <c r="U106" i="21"/>
  <c r="A106" i="29"/>
  <c r="U107" i="21"/>
  <c r="A107" i="31"/>
  <c r="U108" i="21"/>
  <c r="A108" i="31"/>
  <c r="U109" i="21"/>
  <c r="A109" i="31"/>
  <c r="U110" i="21"/>
  <c r="A110" i="29"/>
  <c r="U111" i="21"/>
  <c r="A111" i="29"/>
  <c r="U112" i="21"/>
  <c r="A112" i="29"/>
  <c r="U113" i="21"/>
  <c r="A113" i="29"/>
  <c r="U114" i="21"/>
  <c r="A114" i="29"/>
  <c r="U115" i="21"/>
  <c r="A115" i="31"/>
  <c r="U116" i="21"/>
  <c r="A116" i="31"/>
  <c r="U117" i="21"/>
  <c r="A117" i="31"/>
  <c r="U118" i="21"/>
  <c r="A118" i="29"/>
  <c r="U119" i="21"/>
  <c r="A119" i="29"/>
  <c r="U120" i="21"/>
  <c r="A120" i="29"/>
  <c r="U121" i="21"/>
  <c r="A121" i="29"/>
  <c r="U122" i="21"/>
  <c r="A122" i="29"/>
  <c r="U123" i="21"/>
  <c r="A123" i="31"/>
  <c r="U124" i="21"/>
  <c r="A124" i="29"/>
  <c r="U125" i="21"/>
  <c r="A125" i="31"/>
  <c r="U126" i="21"/>
  <c r="A126" i="29"/>
  <c r="U127" i="21"/>
  <c r="A127" i="29"/>
  <c r="U128" i="21"/>
  <c r="A128" i="29"/>
  <c r="U129" i="21"/>
  <c r="A129" i="29"/>
  <c r="U130" i="21"/>
  <c r="A130" i="29"/>
  <c r="U131" i="21"/>
  <c r="A131" i="31"/>
  <c r="U132" i="21"/>
  <c r="A132" i="31"/>
  <c r="U133" i="21"/>
  <c r="A133" i="31"/>
  <c r="U134" i="21"/>
  <c r="A134" i="29"/>
  <c r="U135" i="21"/>
  <c r="A135" i="29"/>
  <c r="U136" i="21"/>
  <c r="A136" i="29"/>
  <c r="U137" i="21"/>
  <c r="A137" i="29"/>
  <c r="U138" i="21"/>
  <c r="A138" i="29"/>
  <c r="U139" i="21"/>
  <c r="A139" i="31"/>
  <c r="U140" i="21"/>
  <c r="A140" i="31"/>
  <c r="U141" i="21"/>
  <c r="A141" i="31"/>
  <c r="U142" i="21"/>
  <c r="A142" i="29"/>
  <c r="U143" i="21"/>
  <c r="A143" i="29"/>
  <c r="U144" i="21"/>
  <c r="A144" i="29"/>
  <c r="U145" i="21"/>
  <c r="A145" i="29"/>
  <c r="U146" i="21"/>
  <c r="A146" i="29"/>
  <c r="U147" i="21"/>
  <c r="A147" i="31"/>
  <c r="U148" i="21"/>
  <c r="A148" i="31"/>
  <c r="U149" i="21"/>
  <c r="A149" i="31"/>
  <c r="U150" i="21"/>
  <c r="A150" i="29"/>
  <c r="U151" i="21"/>
  <c r="A151" i="29"/>
  <c r="U152" i="21"/>
  <c r="A152" i="31"/>
  <c r="U153" i="21"/>
  <c r="A153" i="29"/>
  <c r="U154" i="21"/>
  <c r="A154" i="29"/>
  <c r="U155" i="21"/>
  <c r="A155" i="31"/>
  <c r="U156" i="21"/>
  <c r="A156" i="31"/>
  <c r="U157" i="21"/>
  <c r="A157" i="31"/>
  <c r="U158" i="21"/>
  <c r="A158" i="29"/>
  <c r="U159" i="21"/>
  <c r="A159" i="29"/>
  <c r="U160" i="21"/>
  <c r="A160" i="29"/>
  <c r="U161" i="21"/>
  <c r="A161" i="29"/>
  <c r="U162" i="21"/>
  <c r="A162" i="29"/>
  <c r="U163" i="21"/>
  <c r="A163" i="31"/>
  <c r="U164" i="21"/>
  <c r="A164" i="31"/>
  <c r="U165" i="21"/>
  <c r="A165" i="31"/>
  <c r="U166" i="21"/>
  <c r="A166" i="29"/>
  <c r="U167" i="21"/>
  <c r="A167" i="29"/>
  <c r="U168" i="21"/>
  <c r="A168" i="29"/>
  <c r="U169" i="21"/>
  <c r="A169" i="29"/>
  <c r="U170" i="21"/>
  <c r="A170" i="29"/>
  <c r="U171" i="21"/>
  <c r="A171" i="31"/>
  <c r="U172" i="21"/>
  <c r="A172" i="31"/>
  <c r="U173" i="21"/>
  <c r="A173" i="31"/>
  <c r="U174" i="21"/>
  <c r="A174" i="29"/>
  <c r="U175" i="21"/>
  <c r="A175" i="29"/>
  <c r="U176" i="21"/>
  <c r="A176" i="29"/>
  <c r="U177" i="21"/>
  <c r="A177" i="29"/>
  <c r="U178" i="21"/>
  <c r="A178" i="29"/>
  <c r="U179" i="21"/>
  <c r="A179" i="31"/>
  <c r="U180" i="21"/>
  <c r="A180" i="31"/>
  <c r="U181" i="21"/>
  <c r="A181" i="31"/>
  <c r="U182" i="21"/>
  <c r="A182" i="29"/>
  <c r="U183" i="21"/>
  <c r="A183" i="29"/>
  <c r="U184" i="21"/>
  <c r="A184" i="29"/>
  <c r="U185" i="21"/>
  <c r="A185" i="29"/>
  <c r="U186" i="21"/>
  <c r="A186" i="29"/>
  <c r="U187" i="21"/>
  <c r="A187" i="31"/>
  <c r="U188" i="21"/>
  <c r="A188" i="29"/>
  <c r="U189" i="21"/>
  <c r="A189" i="31"/>
  <c r="U190" i="21"/>
  <c r="A190" i="29"/>
  <c r="U191" i="21"/>
  <c r="A191" i="29"/>
  <c r="U192" i="21"/>
  <c r="A192" i="29"/>
  <c r="U193" i="21"/>
  <c r="A193" i="29"/>
  <c r="U194" i="21"/>
  <c r="A194" i="29"/>
  <c r="U195" i="21"/>
  <c r="A195" i="31"/>
  <c r="U196" i="21"/>
  <c r="A196" i="31"/>
  <c r="U197" i="21"/>
  <c r="A197" i="31"/>
  <c r="U198" i="21"/>
  <c r="A198" i="31"/>
  <c r="U199" i="21"/>
  <c r="A199" i="31"/>
  <c r="U200" i="21"/>
  <c r="A200" i="29"/>
  <c r="U201" i="21"/>
  <c r="A201" i="29"/>
  <c r="U202" i="21"/>
  <c r="A202" i="29"/>
  <c r="U203" i="21"/>
  <c r="A203" i="31"/>
  <c r="U204" i="21"/>
  <c r="A204" i="31"/>
  <c r="U205" i="21"/>
  <c r="A205" i="31"/>
  <c r="U206" i="21"/>
  <c r="A206" i="31"/>
  <c r="U207" i="21"/>
  <c r="A207" i="31"/>
  <c r="U208" i="21"/>
  <c r="A208" i="29"/>
  <c r="U209" i="21"/>
  <c r="A209" i="29"/>
  <c r="U210" i="21"/>
  <c r="U211" i="21"/>
  <c r="A211" i="31"/>
  <c r="U212" i="21"/>
  <c r="U213" i="21"/>
  <c r="A213" i="31"/>
  <c r="U214" i="21"/>
  <c r="A214" i="31"/>
  <c r="U215" i="21"/>
  <c r="A215" i="31"/>
  <c r="U216" i="21"/>
  <c r="U217" i="21"/>
  <c r="A217" i="29"/>
  <c r="U218" i="21"/>
  <c r="A218" i="29"/>
  <c r="U219" i="21"/>
  <c r="U220" i="21"/>
  <c r="U221" i="21"/>
  <c r="A221" i="31"/>
  <c r="U222" i="21"/>
  <c r="A222" i="31"/>
  <c r="U223" i="21"/>
  <c r="A223" i="31"/>
  <c r="U224" i="21"/>
  <c r="U225" i="21"/>
  <c r="U226" i="21"/>
  <c r="U227" i="21"/>
  <c r="U228" i="21"/>
  <c r="U229" i="21"/>
  <c r="U230" i="21"/>
  <c r="U231" i="21"/>
  <c r="U232" i="21"/>
  <c r="U233" i="21"/>
  <c r="U234" i="21"/>
  <c r="U235" i="21"/>
  <c r="U236" i="21"/>
  <c r="U237" i="21"/>
  <c r="U238" i="21"/>
  <c r="U239" i="21"/>
  <c r="U240" i="21"/>
  <c r="U241" i="21"/>
  <c r="U242" i="21"/>
  <c r="U243" i="21"/>
  <c r="U244" i="21"/>
  <c r="U245" i="21"/>
  <c r="U246" i="21"/>
  <c r="U247" i="21"/>
  <c r="U248" i="21"/>
  <c r="U249" i="21"/>
  <c r="U250" i="21"/>
  <c r="U251" i="21"/>
  <c r="U252" i="21"/>
  <c r="U253" i="21"/>
  <c r="U254" i="21"/>
  <c r="U255" i="21"/>
  <c r="U256" i="21"/>
  <c r="U257" i="21"/>
  <c r="U258" i="21"/>
  <c r="U259" i="21"/>
  <c r="U260" i="21"/>
  <c r="U261" i="21"/>
  <c r="U262" i="21"/>
  <c r="U263" i="21"/>
  <c r="U264" i="21"/>
  <c r="U265" i="21"/>
  <c r="U266" i="21"/>
  <c r="U267" i="21"/>
  <c r="U268" i="21"/>
  <c r="U269" i="21"/>
  <c r="U270" i="21"/>
  <c r="U271" i="21"/>
  <c r="U272" i="21"/>
  <c r="U273" i="21"/>
  <c r="U274" i="21"/>
  <c r="U275" i="21"/>
  <c r="U276" i="21"/>
  <c r="U277" i="21"/>
  <c r="U278" i="21"/>
  <c r="U279" i="21"/>
  <c r="U280" i="21"/>
  <c r="U281" i="21"/>
  <c r="U282" i="21"/>
  <c r="U283" i="21"/>
  <c r="U284" i="21"/>
  <c r="U285" i="21"/>
  <c r="U286" i="21"/>
  <c r="U287" i="21"/>
  <c r="U288" i="21"/>
  <c r="U289" i="21"/>
  <c r="U290" i="21"/>
  <c r="U291" i="21"/>
  <c r="U292" i="21"/>
  <c r="U293" i="21"/>
  <c r="U294" i="21"/>
  <c r="U295" i="21"/>
  <c r="U296" i="21"/>
  <c r="U297" i="21"/>
  <c r="U298" i="21"/>
  <c r="U299" i="21"/>
  <c r="U300" i="21"/>
  <c r="U301" i="21"/>
  <c r="U302" i="21"/>
  <c r="U303" i="21"/>
  <c r="U304" i="21"/>
  <c r="U305" i="21"/>
  <c r="U306" i="21"/>
  <c r="U307" i="21"/>
  <c r="U308" i="21"/>
  <c r="U309" i="21"/>
  <c r="U310" i="21"/>
  <c r="U311" i="21"/>
  <c r="U312" i="21"/>
  <c r="U313" i="21"/>
  <c r="U314" i="21"/>
  <c r="U315" i="21"/>
  <c r="U316" i="21"/>
  <c r="U317" i="21"/>
  <c r="U318" i="21"/>
  <c r="U319" i="21"/>
  <c r="U320" i="21"/>
  <c r="U321" i="21"/>
  <c r="U322" i="21"/>
  <c r="U323" i="21"/>
  <c r="U324" i="21"/>
  <c r="U325" i="21"/>
  <c r="U326" i="21"/>
  <c r="U327" i="21"/>
  <c r="U328" i="21"/>
  <c r="U329" i="21"/>
  <c r="U330" i="21"/>
  <c r="U331" i="21"/>
  <c r="U332" i="21"/>
  <c r="U333" i="21"/>
  <c r="U334" i="21"/>
  <c r="U335" i="21"/>
  <c r="U336" i="21"/>
  <c r="U337" i="21"/>
  <c r="U338" i="21"/>
  <c r="U339" i="21"/>
  <c r="U340" i="21"/>
  <c r="U341" i="21"/>
  <c r="U342" i="21"/>
  <c r="U343" i="21"/>
  <c r="U344" i="21"/>
  <c r="U345" i="21"/>
  <c r="U346" i="21"/>
  <c r="U347" i="21"/>
  <c r="U348" i="21"/>
  <c r="U349" i="21"/>
  <c r="U350" i="21"/>
  <c r="U351" i="21"/>
  <c r="U352" i="21"/>
  <c r="U353" i="21"/>
  <c r="U354" i="21"/>
  <c r="U355" i="21"/>
  <c r="U356" i="21"/>
  <c r="U357" i="21"/>
  <c r="U358" i="21"/>
  <c r="U359" i="21"/>
  <c r="U360" i="21"/>
  <c r="U361" i="21"/>
  <c r="U362" i="21"/>
  <c r="U363" i="21"/>
  <c r="U364" i="21"/>
  <c r="U365" i="21"/>
  <c r="U366" i="21"/>
  <c r="U367" i="21"/>
  <c r="U368" i="21"/>
  <c r="U369" i="21"/>
  <c r="U370" i="21"/>
  <c r="U371" i="21"/>
  <c r="U372" i="21"/>
  <c r="U373" i="21"/>
  <c r="U374" i="21"/>
  <c r="U375" i="21"/>
  <c r="U376" i="21"/>
  <c r="U377" i="21"/>
  <c r="U378" i="21"/>
  <c r="U379" i="21"/>
  <c r="U380" i="21"/>
  <c r="U381" i="21"/>
  <c r="U382" i="21"/>
  <c r="U383" i="21"/>
  <c r="U384" i="21"/>
  <c r="U385" i="21"/>
  <c r="U386" i="21"/>
  <c r="U387" i="21"/>
  <c r="U388" i="21"/>
  <c r="U389" i="21"/>
  <c r="U390" i="21"/>
  <c r="U391" i="21"/>
  <c r="U392" i="21"/>
  <c r="U393" i="21"/>
  <c r="U394" i="21"/>
  <c r="U395" i="21"/>
  <c r="U396" i="21"/>
  <c r="U397" i="21"/>
  <c r="U398" i="21"/>
  <c r="U399" i="21"/>
  <c r="U400" i="21"/>
  <c r="U401" i="21"/>
  <c r="U402" i="21"/>
  <c r="U403" i="21"/>
  <c r="U404" i="21"/>
  <c r="U405" i="21"/>
  <c r="U406" i="21"/>
  <c r="U407" i="21"/>
  <c r="U408" i="21"/>
  <c r="U409" i="21"/>
  <c r="U410" i="21"/>
  <c r="U411" i="21"/>
  <c r="U412" i="21"/>
  <c r="U413" i="21"/>
  <c r="U414" i="21"/>
  <c r="U415" i="21"/>
  <c r="U416" i="21"/>
  <c r="U417" i="21"/>
  <c r="U418" i="21"/>
  <c r="U419" i="21"/>
  <c r="U420" i="21"/>
  <c r="U421" i="21"/>
  <c r="U422" i="21"/>
  <c r="U423" i="21"/>
  <c r="U424" i="21"/>
  <c r="U425" i="21"/>
  <c r="U426" i="21"/>
  <c r="U427" i="21"/>
  <c r="U428" i="21"/>
  <c r="U429" i="21"/>
  <c r="U430" i="21"/>
  <c r="U431" i="21"/>
  <c r="U432" i="21"/>
  <c r="U433" i="21"/>
  <c r="U434" i="21"/>
  <c r="U435" i="21"/>
  <c r="U436" i="21"/>
  <c r="U437" i="21"/>
  <c r="U438" i="21"/>
  <c r="U439" i="21"/>
  <c r="U440" i="21"/>
  <c r="U441" i="21"/>
  <c r="U442" i="21"/>
  <c r="U443" i="21"/>
  <c r="U444" i="21"/>
  <c r="U445" i="21"/>
  <c r="U446" i="21"/>
  <c r="U447" i="21"/>
  <c r="U448" i="21"/>
  <c r="U449" i="21"/>
  <c r="U450" i="21"/>
  <c r="U451" i="21"/>
  <c r="U452" i="21"/>
  <c r="U453" i="21"/>
  <c r="U454" i="21"/>
  <c r="U455" i="21"/>
  <c r="U456" i="21"/>
  <c r="U457" i="21"/>
  <c r="U458" i="21"/>
  <c r="U459" i="21"/>
  <c r="U460" i="21"/>
  <c r="U461" i="21"/>
  <c r="U462" i="21"/>
  <c r="U463" i="21"/>
  <c r="U464" i="21"/>
  <c r="U465" i="21"/>
  <c r="U466" i="21"/>
  <c r="U467" i="21"/>
  <c r="U468" i="21"/>
  <c r="U469" i="21"/>
  <c r="U470" i="21"/>
  <c r="U471" i="21"/>
  <c r="U472" i="21"/>
  <c r="U473" i="21"/>
  <c r="U474" i="21"/>
  <c r="U475" i="21"/>
  <c r="U476" i="21"/>
  <c r="U477" i="21"/>
  <c r="U478" i="21"/>
  <c r="U479" i="21"/>
  <c r="U480" i="21"/>
  <c r="U481" i="21"/>
  <c r="U482" i="21"/>
  <c r="U483" i="21"/>
  <c r="U484" i="21"/>
  <c r="U485" i="21"/>
  <c r="U486" i="21"/>
  <c r="U487" i="21"/>
  <c r="U488" i="21"/>
  <c r="U489" i="21"/>
  <c r="U490" i="21"/>
  <c r="U491" i="21"/>
  <c r="U492" i="21"/>
  <c r="U493" i="21"/>
  <c r="U494" i="21"/>
  <c r="U495" i="21"/>
  <c r="U496" i="21"/>
  <c r="U497" i="21"/>
  <c r="U498" i="21"/>
  <c r="U499" i="21"/>
  <c r="U500" i="21"/>
  <c r="U501" i="21"/>
  <c r="U2" i="21"/>
  <c r="A2" i="31"/>
  <c r="A2" i="29"/>
  <c r="C17" i="31"/>
  <c r="C224" i="31"/>
  <c r="C225" i="31"/>
  <c r="C226" i="31"/>
  <c r="C227" i="31"/>
  <c r="C228" i="31"/>
  <c r="C229" i="31"/>
  <c r="C230" i="31"/>
  <c r="C231" i="31"/>
  <c r="C232" i="31"/>
  <c r="C233" i="31"/>
  <c r="C234" i="31"/>
  <c r="C235" i="31"/>
  <c r="B224" i="31"/>
  <c r="B225" i="31"/>
  <c r="B226" i="31"/>
  <c r="B227" i="31"/>
  <c r="B228" i="31"/>
  <c r="B229" i="31"/>
  <c r="B230" i="31"/>
  <c r="B231" i="31"/>
  <c r="B232" i="31"/>
  <c r="B233" i="31"/>
  <c r="B234" i="31"/>
  <c r="B235" i="31"/>
  <c r="B236" i="31"/>
  <c r="A216" i="29"/>
  <c r="A216" i="31"/>
  <c r="A220" i="31"/>
  <c r="A220" i="29"/>
  <c r="A212" i="31"/>
  <c r="A212" i="29"/>
  <c r="A197" i="29"/>
  <c r="A189" i="29"/>
  <c r="A181" i="29"/>
  <c r="A173" i="29"/>
  <c r="A165" i="29"/>
  <c r="A157" i="29"/>
  <c r="A149" i="29"/>
  <c r="A141" i="29"/>
  <c r="A133" i="29"/>
  <c r="A125" i="29"/>
  <c r="A117" i="29"/>
  <c r="A109" i="29"/>
  <c r="A101" i="29"/>
  <c r="A93" i="29"/>
  <c r="A85" i="29"/>
  <c r="A77" i="29"/>
  <c r="A69" i="29"/>
  <c r="A61" i="29"/>
  <c r="A53" i="29"/>
  <c r="A44" i="29"/>
  <c r="A36" i="29"/>
  <c r="A28" i="29"/>
  <c r="A20" i="29"/>
  <c r="A12" i="29"/>
  <c r="A223" i="29"/>
  <c r="A215" i="29"/>
  <c r="A207" i="29"/>
  <c r="A199" i="29"/>
  <c r="A218" i="31"/>
  <c r="A202" i="31"/>
  <c r="A194" i="31"/>
  <c r="A186" i="31"/>
  <c r="A178" i="31"/>
  <c r="A170" i="31"/>
  <c r="A162" i="31"/>
  <c r="A154" i="31"/>
  <c r="A146" i="31"/>
  <c r="A138" i="31"/>
  <c r="A130" i="31"/>
  <c r="A122" i="31"/>
  <c r="A114" i="31"/>
  <c r="A106" i="31"/>
  <c r="A98" i="31"/>
  <c r="A90" i="31"/>
  <c r="A82" i="31"/>
  <c r="A74" i="31"/>
  <c r="A66" i="31"/>
  <c r="A58" i="31"/>
  <c r="A50" i="31"/>
  <c r="A41" i="31"/>
  <c r="A33" i="31"/>
  <c r="A25" i="31"/>
  <c r="A17" i="31"/>
  <c r="A9" i="31"/>
  <c r="A196" i="29"/>
  <c r="A180" i="29"/>
  <c r="A172" i="29"/>
  <c r="A164" i="29"/>
  <c r="A156" i="29"/>
  <c r="A148" i="29"/>
  <c r="A140" i="29"/>
  <c r="A132" i="29"/>
  <c r="A116" i="29"/>
  <c r="A108" i="29"/>
  <c r="A100" i="29"/>
  <c r="A92" i="29"/>
  <c r="A84" i="29"/>
  <c r="A76" i="29"/>
  <c r="A68" i="29"/>
  <c r="A52" i="29"/>
  <c r="A43" i="29"/>
  <c r="A35" i="29"/>
  <c r="A27" i="29"/>
  <c r="A19" i="29"/>
  <c r="A11" i="29"/>
  <c r="A222" i="29"/>
  <c r="A214" i="29"/>
  <c r="A206" i="29"/>
  <c r="A198" i="29"/>
  <c r="A217" i="31"/>
  <c r="A209" i="31"/>
  <c r="A201" i="31"/>
  <c r="A193" i="31"/>
  <c r="A185" i="31"/>
  <c r="A177" i="31"/>
  <c r="A169" i="31"/>
  <c r="A161" i="31"/>
  <c r="A153" i="31"/>
  <c r="A145" i="31"/>
  <c r="A137" i="31"/>
  <c r="A129" i="31"/>
  <c r="A121" i="31"/>
  <c r="A113" i="31"/>
  <c r="A105" i="31"/>
  <c r="A97" i="31"/>
  <c r="A89" i="31"/>
  <c r="A81" i="31"/>
  <c r="A73" i="31"/>
  <c r="A65" i="31"/>
  <c r="A57" i="31"/>
  <c r="A49" i="31"/>
  <c r="A40" i="31"/>
  <c r="A32" i="31"/>
  <c r="A24" i="31"/>
  <c r="A16" i="31"/>
  <c r="A8" i="31"/>
  <c r="A195" i="29"/>
  <c r="A187" i="29"/>
  <c r="A179" i="29"/>
  <c r="A171" i="29"/>
  <c r="A163" i="29"/>
  <c r="A155" i="29"/>
  <c r="A147" i="29"/>
  <c r="A139" i="29"/>
  <c r="A131" i="29"/>
  <c r="A123" i="29"/>
  <c r="A115" i="29"/>
  <c r="A107" i="29"/>
  <c r="A99" i="29"/>
  <c r="A91" i="29"/>
  <c r="A83" i="29"/>
  <c r="A75" i="29"/>
  <c r="A67" i="29"/>
  <c r="A59" i="29"/>
  <c r="A51" i="29"/>
  <c r="A42" i="29"/>
  <c r="A34" i="29"/>
  <c r="A26" i="29"/>
  <c r="A18" i="29"/>
  <c r="A10" i="29"/>
  <c r="A221" i="29"/>
  <c r="A213" i="29"/>
  <c r="A205" i="29"/>
  <c r="A200" i="31"/>
  <c r="A192" i="31"/>
  <c r="A184" i="31"/>
  <c r="A176" i="31"/>
  <c r="A168" i="31"/>
  <c r="A160" i="31"/>
  <c r="A144" i="31"/>
  <c r="A136" i="31"/>
  <c r="A128" i="31"/>
  <c r="A120" i="31"/>
  <c r="A112" i="31"/>
  <c r="A104" i="31"/>
  <c r="A96" i="31"/>
  <c r="A80" i="31"/>
  <c r="A72" i="31"/>
  <c r="A64" i="31"/>
  <c r="A56" i="31"/>
  <c r="A48" i="31"/>
  <c r="A39" i="31"/>
  <c r="A31" i="31"/>
  <c r="A23" i="31"/>
  <c r="A15" i="31"/>
  <c r="A7" i="31"/>
  <c r="A204" i="29"/>
  <c r="A191" i="31"/>
  <c r="A183" i="31"/>
  <c r="A175" i="31"/>
  <c r="A167" i="31"/>
  <c r="A159" i="31"/>
  <c r="A151" i="31"/>
  <c r="A143" i="31"/>
  <c r="A135" i="31"/>
  <c r="A127" i="31"/>
  <c r="A119" i="31"/>
  <c r="A111" i="31"/>
  <c r="A103" i="31"/>
  <c r="A95" i="31"/>
  <c r="A87" i="31"/>
  <c r="A79" i="31"/>
  <c r="A71" i="31"/>
  <c r="A63" i="31"/>
  <c r="A55" i="31"/>
  <c r="A47" i="31"/>
  <c r="A38" i="31"/>
  <c r="A30" i="31"/>
  <c r="A22" i="31"/>
  <c r="A14" i="31"/>
  <c r="A6" i="31"/>
  <c r="A211" i="29"/>
  <c r="A203" i="29"/>
  <c r="A190" i="31"/>
  <c r="A182" i="31"/>
  <c r="A174" i="31"/>
  <c r="A166" i="31"/>
  <c r="A158" i="31"/>
  <c r="A150" i="31"/>
  <c r="A142" i="31"/>
  <c r="A134" i="31"/>
  <c r="A126" i="31"/>
  <c r="A118" i="31"/>
  <c r="A110" i="31"/>
  <c r="A102" i="31"/>
  <c r="A94" i="31"/>
  <c r="A86" i="31"/>
  <c r="A78" i="31"/>
  <c r="A70" i="31"/>
  <c r="A62" i="31"/>
  <c r="A54" i="31"/>
  <c r="A45" i="31"/>
  <c r="A37" i="31"/>
  <c r="A29" i="31"/>
  <c r="A21" i="31"/>
  <c r="A13" i="31"/>
  <c r="A5" i="31"/>
  <c r="A4" i="31"/>
  <c r="A3" i="31"/>
  <c r="A46" i="31"/>
  <c r="D3" i="31"/>
  <c r="E3" i="31"/>
  <c r="D4" i="31"/>
  <c r="E4" i="31"/>
  <c r="D5" i="31"/>
  <c r="E5" i="31"/>
  <c r="D6" i="31"/>
  <c r="E6" i="31"/>
  <c r="D7" i="31"/>
  <c r="E7" i="31"/>
  <c r="D8" i="31"/>
  <c r="E8" i="31"/>
  <c r="D9" i="31"/>
  <c r="E9" i="31"/>
  <c r="D10" i="31"/>
  <c r="E10" i="31"/>
  <c r="D11" i="31"/>
  <c r="E11" i="31"/>
  <c r="D12" i="31"/>
  <c r="E12" i="31"/>
  <c r="D13" i="31"/>
  <c r="E13" i="31"/>
  <c r="D14" i="31"/>
  <c r="E14" i="31"/>
  <c r="D15" i="31"/>
  <c r="E15" i="31"/>
  <c r="D16" i="31"/>
  <c r="E16" i="31"/>
  <c r="D17" i="31"/>
  <c r="E17" i="31"/>
  <c r="D18" i="31"/>
  <c r="E18" i="31"/>
  <c r="D19" i="31"/>
  <c r="E19" i="31"/>
  <c r="D20" i="31"/>
  <c r="E20" i="31"/>
  <c r="D21" i="31"/>
  <c r="E21" i="31"/>
  <c r="D22" i="31"/>
  <c r="E22" i="31"/>
  <c r="D23" i="31"/>
  <c r="E23" i="31"/>
  <c r="D24" i="31"/>
  <c r="E24" i="31"/>
  <c r="D25" i="31"/>
  <c r="E25" i="31"/>
  <c r="D26" i="31"/>
  <c r="E26" i="31"/>
  <c r="D27" i="31"/>
  <c r="E27" i="31"/>
  <c r="D28" i="31"/>
  <c r="E28" i="31"/>
  <c r="D29" i="31"/>
  <c r="E29" i="31"/>
  <c r="D30" i="31"/>
  <c r="E30" i="31"/>
  <c r="D31" i="31"/>
  <c r="E31" i="31"/>
  <c r="D32" i="31"/>
  <c r="E32" i="31"/>
  <c r="D33" i="31"/>
  <c r="E33" i="31"/>
  <c r="D34" i="31"/>
  <c r="E34" i="31"/>
  <c r="D35" i="31"/>
  <c r="E35" i="31"/>
  <c r="D36" i="31"/>
  <c r="E36" i="31"/>
  <c r="D37" i="31"/>
  <c r="E37" i="31"/>
  <c r="D38" i="31"/>
  <c r="E38" i="31"/>
  <c r="D39" i="31"/>
  <c r="E39" i="31"/>
  <c r="D40" i="31"/>
  <c r="E40" i="31"/>
  <c r="D41" i="31"/>
  <c r="E41" i="31"/>
  <c r="D42" i="31"/>
  <c r="E42" i="31"/>
  <c r="D43" i="31"/>
  <c r="E43" i="31"/>
  <c r="D44" i="31"/>
  <c r="E44" i="31"/>
  <c r="D45" i="31"/>
  <c r="E45" i="31"/>
  <c r="D46" i="31"/>
  <c r="E46" i="31"/>
  <c r="D47" i="31"/>
  <c r="E47" i="31"/>
  <c r="D48" i="31"/>
  <c r="E48" i="31"/>
  <c r="D49" i="31"/>
  <c r="E49" i="31"/>
  <c r="D50" i="31"/>
  <c r="E50" i="31"/>
  <c r="D51" i="31"/>
  <c r="E51" i="31"/>
  <c r="D52" i="31"/>
  <c r="E52" i="31"/>
  <c r="D53" i="31"/>
  <c r="E53" i="31"/>
  <c r="D54" i="31"/>
  <c r="E54" i="31"/>
  <c r="D55" i="31"/>
  <c r="E55" i="31"/>
  <c r="D56" i="31"/>
  <c r="E56" i="31"/>
  <c r="D57" i="31"/>
  <c r="E57" i="31"/>
  <c r="D58" i="31"/>
  <c r="E58" i="31"/>
  <c r="D59" i="31"/>
  <c r="E59" i="31"/>
  <c r="D60" i="31"/>
  <c r="E60" i="31"/>
  <c r="D61" i="31"/>
  <c r="E61" i="31"/>
  <c r="D62" i="31"/>
  <c r="E62" i="31"/>
  <c r="D63" i="31"/>
  <c r="E63" i="31"/>
  <c r="D64" i="31"/>
  <c r="E64" i="31"/>
  <c r="D65" i="31"/>
  <c r="E65" i="31"/>
  <c r="D66" i="31"/>
  <c r="E66" i="31"/>
  <c r="D67" i="31"/>
  <c r="E67" i="31"/>
  <c r="D68" i="31"/>
  <c r="E68" i="31"/>
  <c r="D69" i="31"/>
  <c r="E69" i="31"/>
  <c r="D70" i="31"/>
  <c r="E70" i="31"/>
  <c r="D71" i="31"/>
  <c r="E71" i="31"/>
  <c r="D72" i="31"/>
  <c r="E72" i="31"/>
  <c r="D73" i="31"/>
  <c r="E73" i="31"/>
  <c r="D74" i="31"/>
  <c r="E74" i="31"/>
  <c r="D75" i="31"/>
  <c r="E75" i="31"/>
  <c r="D76" i="31"/>
  <c r="E76" i="31"/>
  <c r="D77" i="31"/>
  <c r="E77" i="31"/>
  <c r="D78" i="31"/>
  <c r="E78" i="31"/>
  <c r="D79" i="31"/>
  <c r="E79" i="31"/>
  <c r="D80" i="31"/>
  <c r="E80" i="31"/>
  <c r="D81" i="31"/>
  <c r="E81" i="31"/>
  <c r="D82" i="31"/>
  <c r="E82" i="31"/>
  <c r="D83" i="31"/>
  <c r="E83" i="31"/>
  <c r="D84" i="31"/>
  <c r="E84" i="31"/>
  <c r="D85" i="31"/>
  <c r="E85" i="31"/>
  <c r="D86" i="31"/>
  <c r="E86" i="31"/>
  <c r="D87" i="31"/>
  <c r="E87" i="31"/>
  <c r="D88" i="31"/>
  <c r="E88" i="31"/>
  <c r="D89" i="31"/>
  <c r="E89" i="31"/>
  <c r="D90" i="31"/>
  <c r="E90" i="31"/>
  <c r="D91" i="31"/>
  <c r="E91" i="31"/>
  <c r="D92" i="31"/>
  <c r="E92" i="31"/>
  <c r="D93" i="31"/>
  <c r="E93" i="31"/>
  <c r="D94" i="31"/>
  <c r="E94" i="31"/>
  <c r="D95" i="31"/>
  <c r="E95" i="31"/>
  <c r="D96" i="31"/>
  <c r="E96" i="31"/>
  <c r="D97" i="31"/>
  <c r="E97" i="31"/>
  <c r="D98" i="31"/>
  <c r="E98" i="31"/>
  <c r="D99" i="31"/>
  <c r="E99" i="31"/>
  <c r="D100" i="31"/>
  <c r="E100" i="31"/>
  <c r="D101" i="31"/>
  <c r="E101" i="31"/>
  <c r="D102" i="31"/>
  <c r="E102" i="31"/>
  <c r="D103" i="31"/>
  <c r="E103" i="31"/>
  <c r="D104" i="31"/>
  <c r="E104" i="31"/>
  <c r="D105" i="31"/>
  <c r="E105" i="31"/>
  <c r="D106" i="31"/>
  <c r="E106" i="31"/>
  <c r="D107" i="31"/>
  <c r="E107" i="31"/>
  <c r="D108" i="31"/>
  <c r="E108" i="31"/>
  <c r="D109" i="31"/>
  <c r="E109" i="31"/>
  <c r="D110" i="31"/>
  <c r="E110" i="31"/>
  <c r="D111" i="31"/>
  <c r="E111" i="31"/>
  <c r="D112" i="31"/>
  <c r="E112" i="31"/>
  <c r="D113" i="31"/>
  <c r="E113" i="31"/>
  <c r="D114" i="31"/>
  <c r="E114" i="31"/>
  <c r="D115" i="31"/>
  <c r="E115" i="31"/>
  <c r="D116" i="31"/>
  <c r="E116" i="31"/>
  <c r="D117" i="31"/>
  <c r="E117" i="31"/>
  <c r="D118" i="31"/>
  <c r="E118" i="31"/>
  <c r="D119" i="31"/>
  <c r="E119" i="31"/>
  <c r="D120" i="31"/>
  <c r="E120" i="31"/>
  <c r="D121" i="31"/>
  <c r="E121" i="31"/>
  <c r="D122" i="31"/>
  <c r="E122" i="31"/>
  <c r="D123" i="31"/>
  <c r="E123" i="31"/>
  <c r="D124" i="31"/>
  <c r="E124" i="31"/>
  <c r="D125" i="31"/>
  <c r="E125" i="31"/>
  <c r="D126" i="31"/>
  <c r="E126" i="31"/>
  <c r="D127" i="31"/>
  <c r="E127" i="31"/>
  <c r="D128" i="31"/>
  <c r="E128" i="31"/>
  <c r="D129" i="31"/>
  <c r="E129" i="31"/>
  <c r="D130" i="31"/>
  <c r="E130" i="31"/>
  <c r="D131" i="31"/>
  <c r="E131" i="31"/>
  <c r="D132" i="31"/>
  <c r="E132" i="31"/>
  <c r="D133" i="31"/>
  <c r="E133" i="31"/>
  <c r="D134" i="31"/>
  <c r="E134" i="31"/>
  <c r="D135" i="31"/>
  <c r="E135" i="31"/>
  <c r="D136" i="31"/>
  <c r="E136" i="31"/>
  <c r="D137" i="31"/>
  <c r="E137" i="31"/>
  <c r="D138" i="31"/>
  <c r="E138" i="31"/>
  <c r="D139" i="31"/>
  <c r="E139" i="31"/>
  <c r="D140" i="31"/>
  <c r="E140" i="31"/>
  <c r="D141" i="31"/>
  <c r="E141" i="31"/>
  <c r="D142" i="31"/>
  <c r="E142" i="31"/>
  <c r="D143" i="31"/>
  <c r="E143" i="31"/>
  <c r="D144" i="31"/>
  <c r="E144" i="31"/>
  <c r="D145" i="31"/>
  <c r="E145" i="31"/>
  <c r="D146" i="31"/>
  <c r="E146" i="31"/>
  <c r="D147" i="31"/>
  <c r="E147" i="31"/>
  <c r="D148" i="31"/>
  <c r="E148" i="31"/>
  <c r="D149" i="31"/>
  <c r="E149" i="31"/>
  <c r="D150" i="31"/>
  <c r="E150" i="31"/>
  <c r="D151" i="31"/>
  <c r="E151" i="31"/>
  <c r="D152" i="31"/>
  <c r="E152" i="31"/>
  <c r="D153" i="31"/>
  <c r="E153" i="31"/>
  <c r="D154" i="31"/>
  <c r="E154" i="31"/>
  <c r="D155" i="31"/>
  <c r="E155" i="31"/>
  <c r="D156" i="31"/>
  <c r="E156" i="31"/>
  <c r="D157" i="31"/>
  <c r="E157" i="31"/>
  <c r="D158" i="31"/>
  <c r="E158" i="31"/>
  <c r="D159" i="31"/>
  <c r="E159" i="31"/>
  <c r="D160" i="31"/>
  <c r="E160" i="31"/>
  <c r="D161" i="31"/>
  <c r="E161" i="31"/>
  <c r="D162" i="31"/>
  <c r="E162" i="31"/>
  <c r="D163" i="31"/>
  <c r="E163" i="31"/>
  <c r="D164" i="31"/>
  <c r="E164" i="31"/>
  <c r="D165" i="31"/>
  <c r="E165" i="31"/>
  <c r="D166" i="31"/>
  <c r="E166" i="31"/>
  <c r="D167" i="31"/>
  <c r="E167" i="31"/>
  <c r="D168" i="31"/>
  <c r="E168" i="31"/>
  <c r="D169" i="31"/>
  <c r="E169" i="31"/>
  <c r="D170" i="31"/>
  <c r="E170" i="31"/>
  <c r="D171" i="31"/>
  <c r="E171" i="31"/>
  <c r="D172" i="31"/>
  <c r="E172" i="31"/>
  <c r="D173" i="31"/>
  <c r="E173" i="31"/>
  <c r="D174" i="31"/>
  <c r="E174" i="31"/>
  <c r="D175" i="31"/>
  <c r="E175" i="31"/>
  <c r="D176" i="31"/>
  <c r="E176" i="31"/>
  <c r="D177" i="31"/>
  <c r="E177" i="31"/>
  <c r="A3" i="35" a="1"/>
  <c r="A3" i="35"/>
  <c r="D178" i="31"/>
  <c r="E178" i="31"/>
  <c r="D179" i="31"/>
  <c r="E179" i="31"/>
  <c r="D180" i="31"/>
  <c r="E180" i="31"/>
  <c r="D181" i="31"/>
  <c r="E181" i="31"/>
  <c r="D182" i="31"/>
  <c r="E182" i="31"/>
  <c r="D183" i="31"/>
  <c r="E183" i="31"/>
  <c r="D184" i="31"/>
  <c r="E184" i="31"/>
  <c r="D185" i="31"/>
  <c r="E185" i="31"/>
  <c r="D186" i="31"/>
  <c r="E186" i="31"/>
  <c r="D187" i="31"/>
  <c r="E187" i="31"/>
  <c r="D188" i="31"/>
  <c r="E188" i="31"/>
  <c r="D189" i="31"/>
  <c r="E189" i="31"/>
  <c r="D190" i="31"/>
  <c r="E190" i="31"/>
  <c r="D191" i="31"/>
  <c r="E191" i="31"/>
  <c r="D192" i="31"/>
  <c r="E192" i="31"/>
  <c r="D193" i="31"/>
  <c r="E193" i="31"/>
  <c r="D194" i="31"/>
  <c r="E194" i="31"/>
  <c r="D195" i="31"/>
  <c r="E195" i="31"/>
  <c r="D196" i="31"/>
  <c r="E196" i="31"/>
  <c r="D197" i="31"/>
  <c r="E197" i="31"/>
  <c r="D198" i="31"/>
  <c r="E198" i="31"/>
  <c r="D199" i="31"/>
  <c r="E199" i="31"/>
  <c r="D200" i="31"/>
  <c r="E200" i="31"/>
  <c r="D201" i="31"/>
  <c r="E201" i="31"/>
  <c r="D202" i="31"/>
  <c r="E202" i="31"/>
  <c r="D203" i="31"/>
  <c r="E203" i="31"/>
  <c r="D204" i="31"/>
  <c r="E204" i="31"/>
  <c r="D205" i="31"/>
  <c r="E205" i="31"/>
  <c r="D206" i="31"/>
  <c r="E206" i="31"/>
  <c r="D207" i="31"/>
  <c r="E207" i="31"/>
  <c r="D208" i="31"/>
  <c r="E208" i="31"/>
  <c r="D209" i="31"/>
  <c r="E209" i="31"/>
  <c r="D210" i="31"/>
  <c r="E210" i="31"/>
  <c r="D211" i="31"/>
  <c r="E211" i="31"/>
  <c r="D212" i="31"/>
  <c r="E212" i="31"/>
  <c r="D213" i="31"/>
  <c r="E213" i="31"/>
  <c r="D214" i="31"/>
  <c r="E214" i="31"/>
  <c r="D215" i="31"/>
  <c r="E215" i="31"/>
  <c r="D216" i="31"/>
  <c r="E216" i="31"/>
  <c r="D217" i="31"/>
  <c r="E217" i="31"/>
  <c r="D218" i="31"/>
  <c r="E218" i="31"/>
  <c r="D219" i="31"/>
  <c r="E219" i="31"/>
  <c r="D220" i="31"/>
  <c r="E220" i="31"/>
  <c r="D221" i="31"/>
  <c r="E221" i="31"/>
  <c r="D222" i="31"/>
  <c r="E222" i="31"/>
  <c r="D223" i="31"/>
  <c r="E223" i="31"/>
  <c r="D2" i="31"/>
  <c r="E2"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 r="B25" i="31"/>
  <c r="B24" i="31"/>
  <c r="B23" i="31"/>
  <c r="B22" i="31"/>
  <c r="B21" i="31"/>
  <c r="B20" i="31"/>
  <c r="B19" i="31"/>
  <c r="B18" i="31"/>
  <c r="B17" i="31"/>
  <c r="B16" i="31"/>
  <c r="B15" i="31"/>
  <c r="B14" i="31"/>
  <c r="B13" i="31"/>
  <c r="B12" i="31"/>
  <c r="B11" i="31"/>
  <c r="B10" i="31"/>
  <c r="B9" i="31"/>
  <c r="B8" i="31"/>
  <c r="B7" i="31"/>
  <c r="B6" i="31"/>
  <c r="B5" i="31"/>
  <c r="B4" i="31"/>
  <c r="B3" i="31"/>
  <c r="B2" i="31"/>
  <c r="V2" i="21"/>
  <c r="V3" i="21"/>
  <c r="V4" i="21"/>
  <c r="V5" i="21"/>
  <c r="V6" i="21"/>
  <c r="V7" i="21"/>
  <c r="V8" i="21"/>
  <c r="V9" i="21"/>
  <c r="V10" i="21"/>
  <c r="V11" i="21"/>
  <c r="V12" i="21"/>
  <c r="V13" i="21"/>
  <c r="V14" i="21"/>
  <c r="V15" i="21"/>
  <c r="V16" i="21"/>
  <c r="V17" i="21"/>
  <c r="V18" i="21"/>
  <c r="V19" i="21"/>
  <c r="V20"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8" i="21"/>
  <c r="V119" i="21"/>
  <c r="V120" i="21"/>
  <c r="V121" i="21"/>
  <c r="V122"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77" i="21"/>
  <c r="V178" i="21"/>
  <c r="V179" i="21"/>
  <c r="V180" i="21"/>
  <c r="V181" i="21"/>
  <c r="V182" i="21"/>
  <c r="V183" i="21"/>
  <c r="V184" i="21"/>
  <c r="V185" i="21"/>
  <c r="V186" i="21"/>
  <c r="V187" i="21"/>
  <c r="V188" i="21"/>
  <c r="V189" i="21"/>
  <c r="V190" i="21"/>
  <c r="V191" i="21"/>
  <c r="V192" i="21"/>
  <c r="V193" i="21"/>
  <c r="V194" i="21"/>
  <c r="V195" i="21"/>
  <c r="V196" i="21"/>
  <c r="V197" i="21"/>
  <c r="V198" i="21"/>
  <c r="V199" i="21"/>
  <c r="V200" i="21"/>
  <c r="V201" i="21"/>
  <c r="V202" i="21"/>
  <c r="V203" i="21"/>
  <c r="V204" i="21"/>
  <c r="V205" i="21"/>
  <c r="V206" i="21"/>
  <c r="V207" i="21"/>
  <c r="V208" i="21"/>
  <c r="V209" i="21"/>
  <c r="V210" i="21"/>
  <c r="V211" i="21"/>
  <c r="V212" i="21"/>
  <c r="V213" i="21"/>
  <c r="V214" i="21"/>
  <c r="V215" i="21"/>
  <c r="V216" i="21"/>
  <c r="V217" i="21"/>
  <c r="V218" i="21"/>
  <c r="V219" i="21"/>
  <c r="V220" i="21"/>
  <c r="V221" i="21"/>
  <c r="V222" i="21"/>
  <c r="V223" i="21"/>
  <c r="V224" i="21"/>
  <c r="V225" i="21"/>
  <c r="V226" i="21"/>
  <c r="V227" i="21"/>
  <c r="V228" i="21"/>
  <c r="V229" i="21"/>
  <c r="V230" i="21"/>
  <c r="V231" i="21"/>
  <c r="V232" i="21"/>
  <c r="V233" i="21"/>
  <c r="V234" i="21"/>
  <c r="V235" i="21"/>
  <c r="V236" i="21"/>
  <c r="V237" i="21"/>
  <c r="V238" i="21"/>
  <c r="V239" i="21"/>
  <c r="V240" i="21"/>
  <c r="V241" i="21"/>
  <c r="V242" i="21"/>
  <c r="V243" i="21"/>
  <c r="V244" i="21"/>
  <c r="V245" i="21"/>
  <c r="V246" i="21"/>
  <c r="V247" i="21"/>
  <c r="V248" i="21"/>
  <c r="V249" i="21"/>
  <c r="V250" i="21"/>
  <c r="V251" i="21"/>
  <c r="V252" i="21"/>
  <c r="V253" i="21"/>
  <c r="V254" i="21"/>
  <c r="V255" i="21"/>
  <c r="V256" i="21"/>
  <c r="V257" i="21"/>
  <c r="V258" i="21"/>
  <c r="V259" i="21"/>
  <c r="V260" i="21"/>
  <c r="V261" i="21"/>
  <c r="V262" i="21"/>
  <c r="V263" i="21"/>
  <c r="V264" i="21"/>
  <c r="V265" i="21"/>
  <c r="V266" i="21"/>
  <c r="V267" i="21"/>
  <c r="V268" i="21"/>
  <c r="V269" i="21"/>
  <c r="V270" i="21"/>
  <c r="V271" i="21"/>
  <c r="V272" i="21"/>
  <c r="V273" i="21"/>
  <c r="V274" i="21"/>
  <c r="V275" i="21"/>
  <c r="V276" i="21"/>
  <c r="V277" i="21"/>
  <c r="V278" i="21"/>
  <c r="V279" i="21"/>
  <c r="V280" i="21"/>
  <c r="V281" i="21"/>
  <c r="V282" i="21"/>
  <c r="V283" i="21"/>
  <c r="V284" i="21"/>
  <c r="V285" i="21"/>
  <c r="V286" i="21"/>
  <c r="V287" i="21"/>
  <c r="V288" i="21"/>
  <c r="V289" i="21"/>
  <c r="V290" i="21"/>
  <c r="V291" i="21"/>
  <c r="V292" i="21"/>
  <c r="V293" i="21"/>
  <c r="V294" i="21"/>
  <c r="V295" i="21"/>
  <c r="V296" i="21"/>
  <c r="V297" i="21"/>
  <c r="V298" i="21"/>
  <c r="V299" i="21"/>
  <c r="V300" i="21"/>
  <c r="V301" i="21"/>
  <c r="V302" i="21"/>
  <c r="V303" i="21"/>
  <c r="V304" i="21"/>
  <c r="V305" i="21"/>
  <c r="V306" i="21"/>
  <c r="V307" i="21"/>
  <c r="V308" i="21"/>
  <c r="V309" i="21"/>
  <c r="V310" i="21"/>
  <c r="V311" i="21"/>
  <c r="V312" i="21"/>
  <c r="V313" i="21"/>
  <c r="V314" i="21"/>
  <c r="V315" i="21"/>
  <c r="V316" i="21"/>
  <c r="V317" i="21"/>
  <c r="V318" i="21"/>
  <c r="V319" i="21"/>
  <c r="V320" i="21"/>
  <c r="V321" i="21"/>
  <c r="V322" i="21"/>
  <c r="V323" i="21"/>
  <c r="V324" i="21"/>
  <c r="V325" i="21"/>
  <c r="V326" i="21"/>
  <c r="V327" i="21"/>
  <c r="V328" i="21"/>
  <c r="V329" i="21"/>
  <c r="V330" i="21"/>
  <c r="V331" i="21"/>
  <c r="V332" i="21"/>
  <c r="V333" i="21"/>
  <c r="V334" i="21"/>
  <c r="V335" i="21"/>
  <c r="V336" i="21"/>
  <c r="V337" i="21"/>
  <c r="V338" i="21"/>
  <c r="V339" i="21"/>
  <c r="V340" i="21"/>
  <c r="V341" i="21"/>
  <c r="V342" i="21"/>
  <c r="V343" i="21"/>
  <c r="V344" i="21"/>
  <c r="V345" i="21"/>
  <c r="V346" i="21"/>
  <c r="V347" i="21"/>
  <c r="V348" i="21"/>
  <c r="V349" i="21"/>
  <c r="V350" i="21"/>
  <c r="V351" i="21"/>
  <c r="V352" i="21"/>
  <c r="V353" i="21"/>
  <c r="V354" i="21"/>
  <c r="V355" i="21"/>
  <c r="V356" i="21"/>
  <c r="V357" i="21"/>
  <c r="V358" i="21"/>
  <c r="V359" i="21"/>
  <c r="V360" i="21"/>
  <c r="V361" i="21"/>
  <c r="V362" i="21"/>
  <c r="V363" i="21"/>
  <c r="V364" i="21"/>
  <c r="V365" i="21"/>
  <c r="V366" i="21"/>
  <c r="V367" i="21"/>
  <c r="V368" i="21"/>
  <c r="V369" i="21"/>
  <c r="V370" i="21"/>
  <c r="V371" i="21"/>
  <c r="V372" i="21"/>
  <c r="V373" i="21"/>
  <c r="V374" i="21"/>
  <c r="V375" i="21"/>
  <c r="V376" i="21"/>
  <c r="V377" i="21"/>
  <c r="V378" i="21"/>
  <c r="V379" i="21"/>
  <c r="V380" i="21"/>
  <c r="V381" i="21"/>
  <c r="V382" i="21"/>
  <c r="V383" i="21"/>
  <c r="V384" i="21"/>
  <c r="V385" i="21"/>
  <c r="V386" i="21"/>
  <c r="V387" i="21"/>
  <c r="V388" i="21"/>
  <c r="V389" i="21"/>
  <c r="V390" i="21"/>
  <c r="V391" i="21"/>
  <c r="V392" i="21"/>
  <c r="V393" i="21"/>
  <c r="V394" i="21"/>
  <c r="V395" i="21"/>
  <c r="V396" i="21"/>
  <c r="V397" i="21"/>
  <c r="V398" i="21"/>
  <c r="V399" i="21"/>
  <c r="V400" i="21"/>
  <c r="V401" i="21"/>
  <c r="V402" i="21"/>
  <c r="V403" i="21"/>
  <c r="V404" i="21"/>
  <c r="V405" i="21"/>
  <c r="V406" i="21"/>
  <c r="V407" i="21"/>
  <c r="V408" i="21"/>
  <c r="V409" i="21"/>
  <c r="V410" i="21"/>
  <c r="V411" i="21"/>
  <c r="V412" i="21"/>
  <c r="V413" i="21"/>
  <c r="V414" i="21"/>
  <c r="V415" i="21"/>
  <c r="V416" i="21"/>
  <c r="V417" i="21"/>
  <c r="V418" i="21"/>
  <c r="V419" i="21"/>
  <c r="V420" i="21"/>
  <c r="V421" i="21"/>
  <c r="V422" i="21"/>
  <c r="V423" i="21"/>
  <c r="V424" i="21"/>
  <c r="V425" i="21"/>
  <c r="V426" i="21"/>
  <c r="V427" i="21"/>
  <c r="V428" i="21"/>
  <c r="V429" i="21"/>
  <c r="V430" i="21"/>
  <c r="V431" i="21"/>
  <c r="V432" i="21"/>
  <c r="V433" i="21"/>
  <c r="V434" i="21"/>
  <c r="V435" i="21"/>
  <c r="V436" i="21"/>
  <c r="V437" i="21"/>
  <c r="V438" i="21"/>
  <c r="V439" i="21"/>
  <c r="V440" i="21"/>
  <c r="V441" i="21"/>
  <c r="V442" i="21"/>
  <c r="V443" i="21"/>
  <c r="V444" i="21"/>
  <c r="V445" i="21"/>
  <c r="V446" i="21"/>
  <c r="V447" i="21"/>
  <c r="V448" i="21"/>
  <c r="V449" i="21"/>
  <c r="V450" i="21"/>
  <c r="V451" i="21"/>
  <c r="V452" i="21"/>
  <c r="V453" i="21"/>
  <c r="V454" i="21"/>
  <c r="V455" i="21"/>
  <c r="V456" i="21"/>
  <c r="V457" i="21"/>
  <c r="V458" i="21"/>
  <c r="V459" i="21"/>
  <c r="V460" i="21"/>
  <c r="V461" i="21"/>
  <c r="V462" i="21"/>
  <c r="V463" i="21"/>
  <c r="V464" i="21"/>
  <c r="V465" i="21"/>
  <c r="V466" i="21"/>
  <c r="V467" i="21"/>
  <c r="V468" i="21"/>
  <c r="V469" i="21"/>
  <c r="V470" i="21"/>
  <c r="V471" i="21"/>
  <c r="V472" i="21"/>
  <c r="V473" i="21"/>
  <c r="V474" i="21"/>
  <c r="V475" i="21"/>
  <c r="V476" i="21"/>
  <c r="V477" i="21"/>
  <c r="V478" i="21"/>
  <c r="V479" i="21"/>
  <c r="V480" i="21"/>
  <c r="V481" i="21"/>
  <c r="V482" i="21"/>
  <c r="V483" i="21"/>
  <c r="V484" i="21"/>
  <c r="V485" i="21"/>
  <c r="V486" i="21"/>
  <c r="V487" i="21"/>
  <c r="V488" i="21"/>
  <c r="V489" i="21"/>
  <c r="V490" i="21"/>
  <c r="V491" i="21"/>
  <c r="V492" i="21"/>
  <c r="V493" i="21"/>
  <c r="V494" i="21"/>
  <c r="V495" i="21"/>
  <c r="V496" i="21"/>
  <c r="V497" i="21"/>
  <c r="V498" i="21"/>
  <c r="V499" i="21"/>
  <c r="V500" i="21"/>
  <c r="V501" i="21"/>
  <c r="D8" i="26"/>
  <c r="D6" i="26"/>
  <c r="D5" i="26"/>
  <c r="D4" i="26"/>
  <c r="W224" i="21"/>
  <c r="W225" i="21"/>
  <c r="W226" i="21"/>
  <c r="W227" i="21"/>
  <c r="W228" i="21"/>
  <c r="W229" i="21"/>
  <c r="W230" i="21"/>
  <c r="W231" i="21"/>
  <c r="W232" i="21"/>
  <c r="W233" i="21"/>
  <c r="W234" i="21"/>
  <c r="W235" i="21"/>
  <c r="W236" i="21"/>
  <c r="W237" i="21"/>
  <c r="W238" i="21"/>
  <c r="W239" i="21"/>
  <c r="W240" i="21"/>
  <c r="W241" i="21"/>
  <c r="W242" i="21"/>
  <c r="W243" i="21"/>
  <c r="W244" i="21"/>
  <c r="W245" i="21"/>
  <c r="W246" i="21"/>
  <c r="W247" i="21"/>
  <c r="W248" i="21"/>
  <c r="W249" i="21"/>
  <c r="W250" i="21"/>
  <c r="W251" i="21"/>
  <c r="W252" i="21"/>
  <c r="W253" i="21"/>
  <c r="W254" i="21"/>
  <c r="W255" i="21"/>
  <c r="W256" i="21"/>
  <c r="W257" i="21"/>
  <c r="W258" i="21"/>
  <c r="W259" i="21"/>
  <c r="W260" i="21"/>
  <c r="W261" i="21"/>
  <c r="W262" i="21"/>
  <c r="W263" i="21"/>
  <c r="W264" i="21"/>
  <c r="W265" i="21"/>
  <c r="W266" i="21"/>
  <c r="W267" i="21"/>
  <c r="W268" i="21"/>
  <c r="W269" i="21"/>
  <c r="W270" i="21"/>
  <c r="W271" i="21"/>
  <c r="W272" i="21"/>
  <c r="W273" i="21"/>
  <c r="W274" i="21"/>
  <c r="W275" i="21"/>
  <c r="W276" i="21"/>
  <c r="W277" i="21"/>
  <c r="W278" i="21"/>
  <c r="W279" i="21"/>
  <c r="W280" i="21"/>
  <c r="W281" i="21"/>
  <c r="W282" i="21"/>
  <c r="W283" i="21"/>
  <c r="W284" i="21"/>
  <c r="W285" i="21"/>
  <c r="W286" i="21"/>
  <c r="W287" i="21"/>
  <c r="W288" i="21"/>
  <c r="W289" i="21"/>
  <c r="W290" i="21"/>
  <c r="W291" i="21"/>
  <c r="W292" i="21"/>
  <c r="W293" i="21"/>
  <c r="W294" i="21"/>
  <c r="W295" i="21"/>
  <c r="W296" i="21"/>
  <c r="W297" i="21"/>
  <c r="W298" i="21"/>
  <c r="W299" i="21"/>
  <c r="W300" i="21"/>
  <c r="W301" i="21"/>
  <c r="W302" i="21"/>
  <c r="W303" i="21"/>
  <c r="W304" i="21"/>
  <c r="W305" i="21"/>
  <c r="W306" i="21"/>
  <c r="W307" i="21"/>
  <c r="W308" i="21"/>
  <c r="W309" i="21"/>
  <c r="W310" i="21"/>
  <c r="W311" i="21"/>
  <c r="W312" i="21"/>
  <c r="W313" i="21"/>
  <c r="W314" i="21"/>
  <c r="W315" i="21"/>
  <c r="W316" i="21"/>
  <c r="W317" i="21"/>
  <c r="W318" i="21"/>
  <c r="W319" i="21"/>
  <c r="W320" i="21"/>
  <c r="W321" i="21"/>
  <c r="W322" i="21"/>
  <c r="W323" i="21"/>
  <c r="W324" i="21"/>
  <c r="W325" i="21"/>
  <c r="W326" i="21"/>
  <c r="W327" i="21"/>
  <c r="W328" i="21"/>
  <c r="W329" i="21"/>
  <c r="W330" i="21"/>
  <c r="W331" i="21"/>
  <c r="W332" i="21"/>
  <c r="W333"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6" i="21"/>
  <c r="W367" i="21"/>
  <c r="W368" i="21"/>
  <c r="W369" i="21"/>
  <c r="W370" i="21"/>
  <c r="W371" i="21"/>
  <c r="W372" i="21"/>
  <c r="W373" i="21"/>
  <c r="W374" i="21"/>
  <c r="W375" i="21"/>
  <c r="W376" i="21"/>
  <c r="W377" i="21"/>
  <c r="W378" i="21"/>
  <c r="W379" i="21"/>
  <c r="W380" i="21"/>
  <c r="W381" i="21"/>
  <c r="W382" i="21"/>
  <c r="W383" i="21"/>
  <c r="W384"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19"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4" i="21"/>
  <c r="W445" i="21"/>
  <c r="W446" i="21"/>
  <c r="W447" i="21"/>
  <c r="W448" i="21"/>
  <c r="W449" i="21"/>
  <c r="W450" i="21"/>
  <c r="W451" i="21"/>
  <c r="W452" i="21"/>
  <c r="W453" i="21"/>
  <c r="W454" i="21"/>
  <c r="W455" i="21"/>
  <c r="W456" i="21"/>
  <c r="W457" i="21"/>
  <c r="W458" i="21"/>
  <c r="W459" i="21"/>
  <c r="W460" i="21"/>
  <c r="W461" i="21"/>
  <c r="W462"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B3" i="29"/>
  <c r="C3" i="29"/>
  <c r="C3" i="31"/>
  <c r="B4" i="29"/>
  <c r="C4" i="29"/>
  <c r="C4" i="31"/>
  <c r="B5" i="29"/>
  <c r="C5" i="29"/>
  <c r="C5" i="31"/>
  <c r="B6" i="29"/>
  <c r="C6" i="29"/>
  <c r="C6" i="31"/>
  <c r="B7" i="29"/>
  <c r="C7" i="29"/>
  <c r="C7" i="31"/>
  <c r="B8" i="29"/>
  <c r="C8" i="29"/>
  <c r="C8" i="31"/>
  <c r="B9" i="29"/>
  <c r="C9" i="29"/>
  <c r="C9" i="31"/>
  <c r="B10" i="29"/>
  <c r="C10" i="29"/>
  <c r="C10" i="31"/>
  <c r="B11" i="29"/>
  <c r="C11" i="29"/>
  <c r="C11" i="31"/>
  <c r="B12" i="29"/>
  <c r="C12" i="29"/>
  <c r="C12" i="31"/>
  <c r="B13" i="29"/>
  <c r="C13" i="29"/>
  <c r="C13" i="31"/>
  <c r="B14" i="29"/>
  <c r="C14" i="29"/>
  <c r="C14" i="31"/>
  <c r="B15" i="29"/>
  <c r="C15" i="29"/>
  <c r="C15" i="31"/>
  <c r="B16" i="29"/>
  <c r="C16" i="29"/>
  <c r="C16" i="31"/>
  <c r="B17" i="29"/>
  <c r="B18" i="29"/>
  <c r="B19" i="29"/>
  <c r="C19" i="29"/>
  <c r="C19" i="31"/>
  <c r="B20" i="29"/>
  <c r="C20" i="29"/>
  <c r="C20" i="31"/>
  <c r="B21" i="29"/>
  <c r="C21" i="29"/>
  <c r="C21" i="31"/>
  <c r="B22" i="29"/>
  <c r="C22" i="29"/>
  <c r="C22" i="31"/>
  <c r="B23" i="29"/>
  <c r="C23" i="29"/>
  <c r="C23" i="31"/>
  <c r="B24" i="29"/>
  <c r="C24" i="29"/>
  <c r="C24" i="31"/>
  <c r="B25" i="29"/>
  <c r="C25" i="29"/>
  <c r="C25" i="31"/>
  <c r="B26" i="29"/>
  <c r="C26" i="29"/>
  <c r="C26" i="31"/>
  <c r="B27" i="29"/>
  <c r="C27" i="29"/>
  <c r="C27" i="31"/>
  <c r="B28" i="29"/>
  <c r="C28" i="29"/>
  <c r="C28" i="31"/>
  <c r="B29" i="29"/>
  <c r="C29" i="29"/>
  <c r="C29" i="31"/>
  <c r="B30" i="29"/>
  <c r="C30" i="29"/>
  <c r="C30" i="31"/>
  <c r="B31" i="29"/>
  <c r="C31" i="29"/>
  <c r="C31" i="31"/>
  <c r="B32" i="29"/>
  <c r="C32" i="29"/>
  <c r="C32" i="31"/>
  <c r="B33" i="29"/>
  <c r="C33" i="29"/>
  <c r="C33" i="31"/>
  <c r="B34" i="29"/>
  <c r="C34" i="29"/>
  <c r="C34" i="31"/>
  <c r="B35" i="29"/>
  <c r="C35" i="29"/>
  <c r="C35" i="31"/>
  <c r="B36" i="29"/>
  <c r="C36" i="29"/>
  <c r="C36" i="31"/>
  <c r="B37" i="29"/>
  <c r="C37" i="29"/>
  <c r="C37" i="31"/>
  <c r="B38" i="29"/>
  <c r="B39" i="29"/>
  <c r="C39" i="29"/>
  <c r="C39" i="31"/>
  <c r="B40" i="29"/>
  <c r="C40" i="29"/>
  <c r="C40" i="31"/>
  <c r="B41" i="29"/>
  <c r="C41" i="29"/>
  <c r="C41" i="31"/>
  <c r="B42" i="29"/>
  <c r="C42" i="29"/>
  <c r="C42" i="31"/>
  <c r="B43" i="29"/>
  <c r="C43" i="29"/>
  <c r="C43" i="31"/>
  <c r="B44" i="29"/>
  <c r="C44" i="29"/>
  <c r="C44" i="31"/>
  <c r="B45" i="29"/>
  <c r="C45" i="29"/>
  <c r="C45" i="31"/>
  <c r="B46" i="29"/>
  <c r="C46" i="29"/>
  <c r="C46" i="31"/>
  <c r="B47" i="29"/>
  <c r="C47" i="29"/>
  <c r="C47" i="31"/>
  <c r="B48" i="29"/>
  <c r="C48" i="29"/>
  <c r="C48" i="31"/>
  <c r="B49" i="29"/>
  <c r="C49" i="29"/>
  <c r="C49" i="31"/>
  <c r="B50" i="29"/>
  <c r="C50" i="29"/>
  <c r="C50" i="31"/>
  <c r="B51" i="29"/>
  <c r="C51" i="29"/>
  <c r="C51" i="31"/>
  <c r="B52" i="29"/>
  <c r="C52" i="29"/>
  <c r="C52" i="31"/>
  <c r="B53" i="29"/>
  <c r="C53" i="29"/>
  <c r="C53" i="31"/>
  <c r="B54" i="29"/>
  <c r="C54" i="29"/>
  <c r="C54" i="31"/>
  <c r="B55" i="29"/>
  <c r="C55" i="29"/>
  <c r="C55" i="31"/>
  <c r="B56" i="29"/>
  <c r="C56" i="29"/>
  <c r="C56" i="31"/>
  <c r="B57" i="29"/>
  <c r="C57" i="29"/>
  <c r="C57" i="31"/>
  <c r="B58" i="29"/>
  <c r="C58" i="29"/>
  <c r="C58" i="31"/>
  <c r="B59" i="29"/>
  <c r="C59" i="29"/>
  <c r="C59" i="31"/>
  <c r="B60" i="29"/>
  <c r="C60" i="29"/>
  <c r="C60" i="31"/>
  <c r="B61" i="29"/>
  <c r="C61" i="29"/>
  <c r="C61" i="31"/>
  <c r="B62" i="29"/>
  <c r="C62" i="29"/>
  <c r="C62" i="31"/>
  <c r="B63" i="29"/>
  <c r="C63" i="29"/>
  <c r="C63" i="31"/>
  <c r="B64" i="29"/>
  <c r="C64" i="29"/>
  <c r="C64" i="31"/>
  <c r="B65" i="29"/>
  <c r="C65" i="29"/>
  <c r="C65" i="31"/>
  <c r="B66" i="29"/>
  <c r="C66" i="29"/>
  <c r="C66" i="31"/>
  <c r="B67" i="29"/>
  <c r="C67" i="29"/>
  <c r="C67" i="31"/>
  <c r="B68" i="29"/>
  <c r="C68" i="29"/>
  <c r="C68" i="31"/>
  <c r="B69" i="29"/>
  <c r="C69" i="29"/>
  <c r="C69" i="31"/>
  <c r="B70" i="29"/>
  <c r="C70" i="29"/>
  <c r="C70" i="31"/>
  <c r="B71" i="29"/>
  <c r="C71" i="29"/>
  <c r="C71" i="31"/>
  <c r="B72" i="29"/>
  <c r="C72" i="29"/>
  <c r="C72" i="31"/>
  <c r="B73" i="29"/>
  <c r="C73" i="29"/>
  <c r="C73" i="31"/>
  <c r="B74" i="29"/>
  <c r="C74" i="29"/>
  <c r="C74" i="31"/>
  <c r="B75" i="29"/>
  <c r="C75" i="29"/>
  <c r="C75" i="31"/>
  <c r="B76" i="29"/>
  <c r="C76" i="29"/>
  <c r="C76" i="31"/>
  <c r="B77" i="29"/>
  <c r="C77" i="29"/>
  <c r="C77" i="31"/>
  <c r="B78" i="29"/>
  <c r="C78" i="29"/>
  <c r="C78" i="31"/>
  <c r="B79" i="29"/>
  <c r="C79" i="29"/>
  <c r="C79" i="31"/>
  <c r="B80" i="29"/>
  <c r="C80" i="29"/>
  <c r="C80" i="31"/>
  <c r="B81" i="29"/>
  <c r="C81" i="29"/>
  <c r="C81" i="31"/>
  <c r="B82" i="29"/>
  <c r="C82" i="29"/>
  <c r="C82" i="31"/>
  <c r="B83" i="29"/>
  <c r="C83" i="29"/>
  <c r="C83" i="31"/>
  <c r="B84" i="29"/>
  <c r="C84" i="29"/>
  <c r="C84" i="31"/>
  <c r="B85" i="29"/>
  <c r="C85" i="29"/>
  <c r="C85" i="31"/>
  <c r="B86" i="29"/>
  <c r="C86" i="29"/>
  <c r="C86" i="31"/>
  <c r="B87" i="29"/>
  <c r="C87" i="29"/>
  <c r="C87" i="31"/>
  <c r="B88" i="29"/>
  <c r="C88" i="29"/>
  <c r="C88" i="31"/>
  <c r="B89" i="29"/>
  <c r="C89" i="29"/>
  <c r="C89" i="31"/>
  <c r="B90" i="29"/>
  <c r="C90" i="29"/>
  <c r="C90" i="31"/>
  <c r="B91" i="29"/>
  <c r="C91" i="29"/>
  <c r="C91" i="31"/>
  <c r="B92" i="29"/>
  <c r="C92" i="29"/>
  <c r="C92" i="31"/>
  <c r="B93" i="29"/>
  <c r="C93" i="29"/>
  <c r="C93" i="31"/>
  <c r="B94" i="29"/>
  <c r="C94" i="29"/>
  <c r="C94" i="31"/>
  <c r="B95" i="29"/>
  <c r="C95" i="29"/>
  <c r="C95" i="31"/>
  <c r="B96" i="29"/>
  <c r="C96" i="29"/>
  <c r="C96" i="31"/>
  <c r="B97" i="29"/>
  <c r="C97" i="29"/>
  <c r="C97" i="31"/>
  <c r="B98" i="29"/>
  <c r="C98" i="29"/>
  <c r="C98" i="31"/>
  <c r="B99" i="29"/>
  <c r="C99" i="29"/>
  <c r="C99" i="31"/>
  <c r="B100" i="29"/>
  <c r="C100" i="29"/>
  <c r="C100" i="31"/>
  <c r="B101" i="29"/>
  <c r="C101" i="29"/>
  <c r="C101" i="31"/>
  <c r="B102" i="29"/>
  <c r="C102" i="29"/>
  <c r="C102" i="31"/>
  <c r="B103" i="29"/>
  <c r="C103" i="29"/>
  <c r="C103" i="31"/>
  <c r="B104" i="29"/>
  <c r="C104" i="29"/>
  <c r="C104" i="31"/>
  <c r="B105" i="29"/>
  <c r="C105" i="29"/>
  <c r="C105" i="31"/>
  <c r="B106" i="29"/>
  <c r="C106" i="29"/>
  <c r="C106" i="31"/>
  <c r="B107" i="29"/>
  <c r="C107" i="29"/>
  <c r="C107" i="31"/>
  <c r="B108" i="29"/>
  <c r="C108" i="29"/>
  <c r="C108" i="31"/>
  <c r="B109" i="29"/>
  <c r="C109" i="29"/>
  <c r="C109" i="31"/>
  <c r="B110" i="29"/>
  <c r="C110" i="29"/>
  <c r="C110" i="31"/>
  <c r="B111" i="29"/>
  <c r="C111" i="29"/>
  <c r="C111" i="31"/>
  <c r="B112" i="29"/>
  <c r="C112" i="29"/>
  <c r="C112" i="31"/>
  <c r="B113" i="29"/>
  <c r="C113" i="29"/>
  <c r="C113" i="31"/>
  <c r="B114" i="29"/>
  <c r="C114" i="29"/>
  <c r="C114" i="31"/>
  <c r="B115" i="29"/>
  <c r="C115" i="29"/>
  <c r="C115" i="31"/>
  <c r="B116" i="29"/>
  <c r="C116" i="29"/>
  <c r="C116" i="31"/>
  <c r="B117" i="29"/>
  <c r="C117" i="29"/>
  <c r="C117" i="31"/>
  <c r="B118" i="29"/>
  <c r="C118" i="29"/>
  <c r="C118" i="31"/>
  <c r="B119" i="29"/>
  <c r="C119" i="29"/>
  <c r="C119" i="31"/>
  <c r="B120" i="29"/>
  <c r="C120" i="29"/>
  <c r="C120" i="31"/>
  <c r="B121" i="29"/>
  <c r="C121" i="29"/>
  <c r="C121" i="31"/>
  <c r="B122" i="29"/>
  <c r="C122" i="29"/>
  <c r="C122" i="31"/>
  <c r="B123" i="29"/>
  <c r="C123" i="29"/>
  <c r="C123" i="31"/>
  <c r="B124" i="29"/>
  <c r="C124" i="29"/>
  <c r="C124" i="31"/>
  <c r="B125" i="29"/>
  <c r="C125" i="29"/>
  <c r="C125" i="31"/>
  <c r="B126" i="29"/>
  <c r="C126" i="29"/>
  <c r="C126" i="31"/>
  <c r="B127" i="29"/>
  <c r="C127" i="29"/>
  <c r="C127" i="31"/>
  <c r="B128" i="29"/>
  <c r="C128" i="29"/>
  <c r="C128" i="31"/>
  <c r="B129" i="29"/>
  <c r="C129" i="29"/>
  <c r="C129" i="31"/>
  <c r="B130" i="29"/>
  <c r="C130" i="29"/>
  <c r="C130" i="31"/>
  <c r="B131" i="29"/>
  <c r="C131" i="29"/>
  <c r="C131" i="31"/>
  <c r="B132" i="29"/>
  <c r="C132" i="29"/>
  <c r="C132" i="31"/>
  <c r="B133" i="29"/>
  <c r="C133" i="29"/>
  <c r="C133" i="31"/>
  <c r="B134" i="29"/>
  <c r="C134" i="29"/>
  <c r="C134" i="31"/>
  <c r="B135" i="29"/>
  <c r="C135" i="29"/>
  <c r="C135" i="31"/>
  <c r="B136" i="29"/>
  <c r="C136" i="29"/>
  <c r="C136" i="31"/>
  <c r="B137" i="29"/>
  <c r="C137" i="29"/>
  <c r="C137" i="31"/>
  <c r="B138" i="29"/>
  <c r="C138" i="29"/>
  <c r="C138" i="31"/>
  <c r="B139" i="29"/>
  <c r="C139" i="29"/>
  <c r="C139" i="31"/>
  <c r="B140" i="29"/>
  <c r="C140" i="29"/>
  <c r="C140" i="31"/>
  <c r="B141" i="29"/>
  <c r="C141" i="29"/>
  <c r="C141" i="31"/>
  <c r="B142" i="29"/>
  <c r="C142" i="29"/>
  <c r="C142" i="31"/>
  <c r="B143" i="29"/>
  <c r="C143" i="29"/>
  <c r="C143" i="31"/>
  <c r="B144" i="29"/>
  <c r="C144" i="29"/>
  <c r="C144" i="31"/>
  <c r="B145" i="29"/>
  <c r="C145" i="29"/>
  <c r="C145" i="31"/>
  <c r="B146" i="29"/>
  <c r="C146" i="29"/>
  <c r="C146" i="31"/>
  <c r="B147" i="29"/>
  <c r="C147" i="29"/>
  <c r="C147" i="31"/>
  <c r="B148" i="29"/>
  <c r="C148" i="29"/>
  <c r="C148" i="31"/>
  <c r="B149" i="29"/>
  <c r="C149" i="29"/>
  <c r="C149" i="31"/>
  <c r="B150" i="29"/>
  <c r="C150" i="29"/>
  <c r="C150" i="31"/>
  <c r="B151" i="29"/>
  <c r="C151" i="29"/>
  <c r="C151" i="31"/>
  <c r="B152" i="29"/>
  <c r="C152" i="29"/>
  <c r="C152" i="31"/>
  <c r="B153" i="29"/>
  <c r="C153" i="29"/>
  <c r="C153" i="31"/>
  <c r="B154" i="29"/>
  <c r="C154" i="29"/>
  <c r="C154" i="31"/>
  <c r="B155" i="29"/>
  <c r="C155" i="29"/>
  <c r="C155" i="31"/>
  <c r="B156" i="29"/>
  <c r="C156" i="29"/>
  <c r="C156" i="31"/>
  <c r="B157" i="29"/>
  <c r="C157" i="29"/>
  <c r="C157" i="31"/>
  <c r="B158" i="29"/>
  <c r="C158" i="29"/>
  <c r="C158" i="31"/>
  <c r="B159" i="29"/>
  <c r="C159" i="29"/>
  <c r="C159" i="31"/>
  <c r="B160" i="29"/>
  <c r="C160" i="29"/>
  <c r="C160" i="31"/>
  <c r="B161" i="29"/>
  <c r="C161" i="29"/>
  <c r="C161" i="31"/>
  <c r="B162" i="29"/>
  <c r="C162" i="29"/>
  <c r="C162" i="31"/>
  <c r="B163" i="29"/>
  <c r="C163" i="29"/>
  <c r="C163" i="31"/>
  <c r="B164" i="29"/>
  <c r="C164" i="29"/>
  <c r="C164" i="31"/>
  <c r="B165" i="29"/>
  <c r="C165" i="29"/>
  <c r="C165" i="31"/>
  <c r="B166" i="29"/>
  <c r="C166" i="29"/>
  <c r="C166" i="31"/>
  <c r="B167" i="29"/>
  <c r="C167" i="29"/>
  <c r="C167" i="31"/>
  <c r="B168" i="29"/>
  <c r="C168" i="29"/>
  <c r="C168" i="31"/>
  <c r="B169" i="29"/>
  <c r="C169" i="29"/>
  <c r="C169" i="31"/>
  <c r="B170" i="29"/>
  <c r="C170" i="29"/>
  <c r="C170" i="31"/>
  <c r="B171" i="29"/>
  <c r="C171" i="29"/>
  <c r="C171" i="31"/>
  <c r="B172" i="29"/>
  <c r="C172" i="29"/>
  <c r="C172" i="31"/>
  <c r="B173" i="29"/>
  <c r="C173" i="29"/>
  <c r="C173" i="31"/>
  <c r="B174" i="29"/>
  <c r="C174" i="29"/>
  <c r="C174" i="31"/>
  <c r="B175" i="29"/>
  <c r="C175" i="29"/>
  <c r="C175" i="31"/>
  <c r="B176" i="29"/>
  <c r="C176" i="29"/>
  <c r="C176" i="31"/>
  <c r="B177" i="29"/>
  <c r="C177" i="29"/>
  <c r="C177" i="31"/>
  <c r="B178" i="29"/>
  <c r="C178" i="29"/>
  <c r="C178" i="31"/>
  <c r="B179" i="29"/>
  <c r="C179" i="29"/>
  <c r="C179" i="31"/>
  <c r="B180" i="29"/>
  <c r="C180" i="29"/>
  <c r="C180" i="31"/>
  <c r="B181" i="29"/>
  <c r="C181" i="29"/>
  <c r="C181" i="31"/>
  <c r="B182" i="29"/>
  <c r="C182" i="29"/>
  <c r="C182" i="31"/>
  <c r="B183" i="29"/>
  <c r="C183" i="29"/>
  <c r="C183" i="31"/>
  <c r="B184" i="29"/>
  <c r="C184" i="29"/>
  <c r="C184" i="31"/>
  <c r="B185" i="29"/>
  <c r="C185" i="29"/>
  <c r="C185" i="31"/>
  <c r="B186" i="29"/>
  <c r="C186" i="29"/>
  <c r="C186" i="31"/>
  <c r="B187" i="29"/>
  <c r="C187" i="29"/>
  <c r="C187" i="31"/>
  <c r="B188" i="29"/>
  <c r="C188" i="29"/>
  <c r="C188" i="31"/>
  <c r="B189" i="29"/>
  <c r="C189" i="29"/>
  <c r="C189" i="31"/>
  <c r="B190" i="29"/>
  <c r="C190" i="29"/>
  <c r="C190" i="31"/>
  <c r="B191" i="29"/>
  <c r="C191" i="29"/>
  <c r="C191" i="31"/>
  <c r="B192" i="29"/>
  <c r="C192" i="29"/>
  <c r="C192" i="31"/>
  <c r="B193" i="29"/>
  <c r="C193" i="29"/>
  <c r="C193" i="31"/>
  <c r="B194" i="29"/>
  <c r="C194" i="29"/>
  <c r="C194" i="31"/>
  <c r="B195" i="29"/>
  <c r="C195" i="29"/>
  <c r="C195" i="31"/>
  <c r="B196" i="29"/>
  <c r="C196" i="29"/>
  <c r="C196" i="31"/>
  <c r="B197" i="29"/>
  <c r="C197" i="29"/>
  <c r="C197" i="31"/>
  <c r="B198" i="29"/>
  <c r="C198" i="29"/>
  <c r="C198" i="31"/>
  <c r="B199" i="29"/>
  <c r="C199" i="29"/>
  <c r="C199" i="31"/>
  <c r="B200" i="29"/>
  <c r="C200" i="29"/>
  <c r="C200" i="31"/>
  <c r="B201" i="29"/>
  <c r="C201" i="29"/>
  <c r="C201" i="31"/>
  <c r="B202" i="29"/>
  <c r="C202" i="29"/>
  <c r="C202" i="31"/>
  <c r="B203" i="29"/>
  <c r="C203" i="29"/>
  <c r="C203" i="31"/>
  <c r="B204" i="29"/>
  <c r="C204" i="29"/>
  <c r="C204" i="31"/>
  <c r="B205" i="29"/>
  <c r="C205" i="29"/>
  <c r="C205" i="31"/>
  <c r="B206" i="29"/>
  <c r="C206" i="29"/>
  <c r="C206" i="31"/>
  <c r="B207" i="29"/>
  <c r="C207" i="29"/>
  <c r="C207" i="31"/>
  <c r="B208" i="29"/>
  <c r="C208" i="29"/>
  <c r="C208" i="31"/>
  <c r="B209" i="29"/>
  <c r="C209" i="29"/>
  <c r="C209" i="31"/>
  <c r="B210" i="29"/>
  <c r="C210" i="29"/>
  <c r="C210" i="31"/>
  <c r="B211" i="29"/>
  <c r="C211" i="29"/>
  <c r="C211" i="31"/>
  <c r="B212" i="29"/>
  <c r="C212" i="29"/>
  <c r="C212" i="31"/>
  <c r="B213" i="29"/>
  <c r="C213" i="29"/>
  <c r="C213" i="31"/>
  <c r="B214" i="29"/>
  <c r="C214" i="29"/>
  <c r="C214" i="31"/>
  <c r="B215" i="29"/>
  <c r="C215" i="29"/>
  <c r="C215" i="31"/>
  <c r="B216" i="29"/>
  <c r="C216" i="29"/>
  <c r="C216" i="31"/>
  <c r="B217" i="29"/>
  <c r="C217" i="29"/>
  <c r="C217" i="31"/>
  <c r="B218" i="29"/>
  <c r="C218" i="29"/>
  <c r="C218" i="31"/>
  <c r="B219" i="29"/>
  <c r="C219" i="29"/>
  <c r="C219" i="31"/>
  <c r="B220" i="29"/>
  <c r="C220" i="29"/>
  <c r="C220" i="31"/>
  <c r="B221" i="29"/>
  <c r="C221" i="29"/>
  <c r="C221" i="31"/>
  <c r="B222" i="29"/>
  <c r="C222" i="29"/>
  <c r="C222" i="31"/>
  <c r="B223" i="29"/>
  <c r="C223" i="29"/>
  <c r="C223" i="31"/>
  <c r="C2" i="29"/>
  <c r="C2" i="31"/>
  <c r="B2" i="29"/>
  <c r="AA403" i="21"/>
  <c r="D11" i="26"/>
  <c r="W6" i="21"/>
  <c r="D12" i="26"/>
  <c r="D13" i="26"/>
  <c r="Y437" i="21"/>
  <c r="W191" i="21"/>
  <c r="D15" i="26"/>
  <c r="W180" i="21"/>
  <c r="W187" i="21"/>
  <c r="W179" i="21"/>
  <c r="W186" i="21"/>
  <c r="W178" i="21"/>
  <c r="W185" i="21"/>
  <c r="W177" i="21"/>
  <c r="W184" i="21"/>
  <c r="W182" i="21"/>
  <c r="W181" i="21"/>
  <c r="W188" i="21"/>
  <c r="W64" i="21"/>
  <c r="W56" i="21"/>
  <c r="W48" i="21"/>
  <c r="W79" i="21"/>
  <c r="W63" i="21"/>
  <c r="W47" i="21"/>
  <c r="W39" i="21"/>
  <c r="W78" i="21"/>
  <c r="W62" i="21"/>
  <c r="W54" i="21"/>
  <c r="W46" i="21"/>
  <c r="W77" i="21"/>
  <c r="W69" i="21"/>
  <c r="W61" i="21"/>
  <c r="W45" i="21"/>
  <c r="W76" i="21"/>
  <c r="W68" i="21"/>
  <c r="W52" i="21"/>
  <c r="W44" i="21"/>
  <c r="W75" i="21"/>
  <c r="W59" i="21"/>
  <c r="W51" i="21"/>
  <c r="W43" i="21"/>
  <c r="W66" i="21"/>
  <c r="W58" i="21"/>
  <c r="W50" i="21"/>
  <c r="W73" i="21"/>
  <c r="W65" i="21"/>
  <c r="W57" i="21"/>
  <c r="W37" i="21"/>
  <c r="W29" i="21"/>
  <c r="W21" i="21"/>
  <c r="W13" i="21"/>
  <c r="W5" i="21"/>
  <c r="W36" i="21"/>
  <c r="W28" i="21"/>
  <c r="W20" i="21"/>
  <c r="W12" i="21"/>
  <c r="W4" i="21"/>
  <c r="W35" i="21"/>
  <c r="W27" i="21"/>
  <c r="W19" i="21"/>
  <c r="W11" i="21"/>
  <c r="W3" i="21"/>
  <c r="W2" i="21"/>
  <c r="W34" i="21"/>
  <c r="W26" i="21"/>
  <c r="W18" i="21"/>
  <c r="W10" i="21"/>
  <c r="W33" i="21"/>
  <c r="W25" i="21"/>
  <c r="W17" i="21"/>
  <c r="W9" i="21"/>
  <c r="W32" i="21"/>
  <c r="W24" i="21"/>
  <c r="W16" i="21"/>
  <c r="W8" i="21"/>
  <c r="W31" i="21"/>
  <c r="W23" i="21"/>
  <c r="W15" i="21"/>
  <c r="W7" i="21"/>
  <c r="W30" i="21"/>
  <c r="W22" i="21"/>
  <c r="W14" i="21"/>
  <c r="W222" i="21"/>
  <c r="W214" i="21"/>
  <c r="W206" i="21"/>
  <c r="W198" i="21"/>
  <c r="W190" i="21"/>
  <c r="W221" i="21"/>
  <c r="W213" i="21"/>
  <c r="W205" i="21"/>
  <c r="W197" i="21"/>
  <c r="W189" i="21"/>
  <c r="W220" i="21"/>
  <c r="W212" i="21"/>
  <c r="W204" i="21"/>
  <c r="W196" i="21"/>
  <c r="W219" i="21"/>
  <c r="W211" i="21"/>
  <c r="W203" i="21"/>
  <c r="W195" i="21"/>
  <c r="W218" i="21"/>
  <c r="W210" i="21"/>
  <c r="W202" i="21"/>
  <c r="W194" i="21"/>
  <c r="W217" i="21"/>
  <c r="W209" i="21"/>
  <c r="W201" i="21"/>
  <c r="W193" i="21"/>
  <c r="W216" i="21"/>
  <c r="W208" i="21"/>
  <c r="W200" i="21"/>
  <c r="W192" i="21"/>
  <c r="W223" i="21"/>
  <c r="W215" i="21"/>
  <c r="W207" i="21"/>
  <c r="W199" i="21"/>
  <c r="W133" i="21"/>
  <c r="X5" i="21"/>
  <c r="X13" i="21"/>
  <c r="X29" i="21"/>
  <c r="X37" i="21"/>
  <c r="X42" i="21"/>
  <c r="AB42" i="21"/>
  <c r="X57" i="21"/>
  <c r="X65" i="21"/>
  <c r="X73" i="21"/>
  <c r="X8" i="21"/>
  <c r="X16" i="21"/>
  <c r="X24" i="21"/>
  <c r="X39" i="21"/>
  <c r="X45" i="21"/>
  <c r="X52" i="21"/>
  <c r="X68" i="21"/>
  <c r="X76" i="21"/>
  <c r="X84" i="21"/>
  <c r="X17" i="21"/>
  <c r="X25" i="21"/>
  <c r="X33" i="21"/>
  <c r="X53" i="21"/>
  <c r="AB53" i="21"/>
  <c r="X61" i="21"/>
  <c r="X69" i="21"/>
  <c r="X77" i="21"/>
  <c r="X19" i="21"/>
  <c r="X27" i="21"/>
  <c r="X35" i="21"/>
  <c r="X41" i="21"/>
  <c r="X47" i="21"/>
  <c r="X55" i="21"/>
  <c r="X63" i="21"/>
  <c r="X79" i="21"/>
  <c r="X4" i="21"/>
  <c r="X12" i="21"/>
  <c r="X20" i="21"/>
  <c r="X28" i="21"/>
  <c r="X36" i="21"/>
  <c r="X48" i="21"/>
  <c r="X64" i="21"/>
  <c r="X72" i="21"/>
  <c r="X80" i="21"/>
  <c r="X85" i="21"/>
  <c r="X94" i="21"/>
  <c r="X105" i="21"/>
  <c r="X120" i="21"/>
  <c r="AB120" i="21"/>
  <c r="X6" i="21"/>
  <c r="X10" i="21"/>
  <c r="X14" i="21"/>
  <c r="X18" i="21"/>
  <c r="X22" i="21"/>
  <c r="X26" i="21"/>
  <c r="X30" i="21"/>
  <c r="X38" i="21"/>
  <c r="X40" i="21"/>
  <c r="X44" i="21"/>
  <c r="X46" i="21"/>
  <c r="X50" i="21"/>
  <c r="X54" i="21"/>
  <c r="X58" i="21"/>
  <c r="X66" i="21"/>
  <c r="X70" i="21"/>
  <c r="X74" i="21"/>
  <c r="X78" i="21"/>
  <c r="X82" i="21"/>
  <c r="X90" i="21"/>
  <c r="X99" i="21"/>
  <c r="X95" i="21"/>
  <c r="X100" i="21"/>
  <c r="X106" i="21"/>
  <c r="X116" i="21"/>
  <c r="X86" i="21"/>
  <c r="X91" i="21"/>
  <c r="X96" i="21"/>
  <c r="X111" i="21"/>
  <c r="X117" i="21"/>
  <c r="X122" i="21"/>
  <c r="X88" i="21"/>
  <c r="AB88" i="21"/>
  <c r="X93" i="21"/>
  <c r="X103" i="21"/>
  <c r="X92" i="21"/>
  <c r="X118" i="21"/>
  <c r="X121" i="21"/>
  <c r="X125" i="21"/>
  <c r="X137" i="21"/>
  <c r="X144" i="21"/>
  <c r="AB144" i="21"/>
  <c r="X151" i="21"/>
  <c r="X158" i="21"/>
  <c r="X107" i="21"/>
  <c r="X115" i="21"/>
  <c r="X124" i="21"/>
  <c r="X145" i="21"/>
  <c r="X152" i="21"/>
  <c r="X159" i="21"/>
  <c r="X109" i="21"/>
  <c r="X153" i="21"/>
  <c r="X160" i="21"/>
  <c r="X168" i="21"/>
  <c r="X87" i="21"/>
  <c r="X89" i="21"/>
  <c r="X98" i="21"/>
  <c r="X114" i="21"/>
  <c r="X139" i="21"/>
  <c r="X146" i="21"/>
  <c r="X154" i="21"/>
  <c r="X161" i="21"/>
  <c r="X169" i="21"/>
  <c r="X102" i="21"/>
  <c r="X140" i="21"/>
  <c r="X162" i="21"/>
  <c r="AB162" i="21"/>
  <c r="X141" i="21"/>
  <c r="X143" i="21"/>
  <c r="X149" i="21"/>
  <c r="X155" i="21"/>
  <c r="X157" i="21"/>
  <c r="X164" i="21"/>
  <c r="X189" i="21"/>
  <c r="X196" i="21"/>
  <c r="X214" i="21"/>
  <c r="X221" i="21"/>
  <c r="X43" i="21"/>
  <c r="X59" i="21"/>
  <c r="X75" i="21"/>
  <c r="X170" i="21"/>
  <c r="X182" i="21"/>
  <c r="X190" i="21"/>
  <c r="AB190" i="21"/>
  <c r="X201" i="21"/>
  <c r="X207" i="21"/>
  <c r="X113" i="21"/>
  <c r="X119" i="21"/>
  <c r="X133" i="21"/>
  <c r="X175" i="21"/>
  <c r="X183" i="21"/>
  <c r="X191" i="21"/>
  <c r="AB191" i="21"/>
  <c r="X202" i="21"/>
  <c r="X208" i="21"/>
  <c r="X215" i="21"/>
  <c r="X104" i="21"/>
  <c r="X131" i="21"/>
  <c r="X136" i="21"/>
  <c r="X142" i="21"/>
  <c r="X148" i="21"/>
  <c r="X150" i="21"/>
  <c r="X156" i="21"/>
  <c r="X177" i="21"/>
  <c r="X185" i="21"/>
  <c r="X193" i="21"/>
  <c r="X3" i="21"/>
  <c r="X51" i="21"/>
  <c r="X67" i="21"/>
  <c r="X83" i="21"/>
  <c r="X165" i="21"/>
  <c r="X172" i="21"/>
  <c r="X178" i="21"/>
  <c r="X186" i="21"/>
  <c r="X134" i="21"/>
  <c r="X163" i="21"/>
  <c r="X205" i="21"/>
  <c r="AB205" i="21"/>
  <c r="X218" i="21"/>
  <c r="X227" i="21"/>
  <c r="X232" i="21"/>
  <c r="X97" i="21"/>
  <c r="X195" i="21"/>
  <c r="X200" i="21"/>
  <c r="X209" i="21"/>
  <c r="X233" i="21"/>
  <c r="X239" i="21"/>
  <c r="X244" i="21"/>
  <c r="X253" i="21"/>
  <c r="X258" i="21"/>
  <c r="X7" i="21"/>
  <c r="X108" i="21"/>
  <c r="X192" i="21"/>
  <c r="X199" i="21"/>
  <c r="X204" i="21"/>
  <c r="X216" i="21"/>
  <c r="X228" i="21"/>
  <c r="X234" i="21"/>
  <c r="X240" i="21"/>
  <c r="X263" i="21"/>
  <c r="X269" i="21"/>
  <c r="X15" i="21"/>
  <c r="X127" i="21"/>
  <c r="X179" i="21"/>
  <c r="X187" i="21"/>
  <c r="X223" i="21"/>
  <c r="X235" i="21"/>
  <c r="X245" i="21"/>
  <c r="X250" i="21"/>
  <c r="X259" i="21"/>
  <c r="AB259" i="21"/>
  <c r="X31" i="21"/>
  <c r="X171" i="21"/>
  <c r="X197" i="21"/>
  <c r="X212" i="21"/>
  <c r="X220" i="21"/>
  <c r="X225" i="21"/>
  <c r="X231" i="21"/>
  <c r="X237" i="21"/>
  <c r="X246" i="21"/>
  <c r="X256" i="21"/>
  <c r="X243" i="21"/>
  <c r="X261" i="21"/>
  <c r="X262" i="21"/>
  <c r="X274" i="21"/>
  <c r="X278" i="21"/>
  <c r="X304" i="21"/>
  <c r="X309" i="21"/>
  <c r="X188" i="21"/>
  <c r="X203" i="21"/>
  <c r="X211" i="21"/>
  <c r="X252" i="21"/>
  <c r="X255" i="21"/>
  <c r="X271" i="21"/>
  <c r="X279" i="21"/>
  <c r="X285" i="21"/>
  <c r="X291" i="21"/>
  <c r="X294" i="21"/>
  <c r="X299" i="21"/>
  <c r="X23" i="21"/>
  <c r="X129" i="21"/>
  <c r="X198" i="21"/>
  <c r="X242" i="21"/>
  <c r="X260" i="21"/>
  <c r="X270" i="21"/>
  <c r="X275" i="21"/>
  <c r="X280" i="21"/>
  <c r="X300" i="21"/>
  <c r="X305" i="21"/>
  <c r="X176" i="21"/>
  <c r="X219" i="21"/>
  <c r="X224" i="21"/>
  <c r="X226" i="21"/>
  <c r="X230" i="21"/>
  <c r="X236" i="21"/>
  <c r="X248" i="21"/>
  <c r="X251" i="21"/>
  <c r="X257" i="21"/>
  <c r="X268" i="21"/>
  <c r="X254" i="21"/>
  <c r="X266" i="21"/>
  <c r="X267" i="21"/>
  <c r="X276" i="21"/>
  <c r="X282" i="21"/>
  <c r="X287" i="21"/>
  <c r="X292" i="21"/>
  <c r="X296" i="21"/>
  <c r="X301" i="21"/>
  <c r="X180" i="21"/>
  <c r="X241" i="21"/>
  <c r="X265" i="21"/>
  <c r="X288" i="21"/>
  <c r="X302" i="21"/>
  <c r="X307" i="21"/>
  <c r="X132" i="21"/>
  <c r="AB132" i="21"/>
  <c r="X174" i="21"/>
  <c r="X273" i="21"/>
  <c r="X277" i="21"/>
  <c r="X313" i="21"/>
  <c r="X324" i="21"/>
  <c r="X332" i="21"/>
  <c r="X337" i="21"/>
  <c r="X341" i="21"/>
  <c r="X348" i="21"/>
  <c r="X356" i="21"/>
  <c r="X363" i="21"/>
  <c r="X281" i="21"/>
  <c r="X283" i="21"/>
  <c r="X247" i="21"/>
  <c r="X289" i="21"/>
  <c r="X306" i="21"/>
  <c r="X320" i="21"/>
  <c r="X326" i="21"/>
  <c r="X334" i="21"/>
  <c r="X338" i="21"/>
  <c r="X342" i="21"/>
  <c r="X350" i="21"/>
  <c r="X358" i="21"/>
  <c r="X365" i="21"/>
  <c r="AB365" i="21"/>
  <c r="X308" i="21"/>
  <c r="X316" i="21"/>
  <c r="X321" i="21"/>
  <c r="X328" i="21"/>
  <c r="X344" i="21"/>
  <c r="X184" i="21"/>
  <c r="X284" i="21"/>
  <c r="X295" i="21"/>
  <c r="X297" i="21"/>
  <c r="X322" i="21"/>
  <c r="X329" i="21"/>
  <c r="X336" i="21"/>
  <c r="X340" i="21"/>
  <c r="X345" i="21"/>
  <c r="X353" i="21"/>
  <c r="X361" i="21"/>
  <c r="X194" i="21"/>
  <c r="X357" i="21"/>
  <c r="X371" i="21"/>
  <c r="X378" i="21"/>
  <c r="X392" i="21"/>
  <c r="X407" i="21"/>
  <c r="X417" i="21"/>
  <c r="X437" i="21"/>
  <c r="X449" i="21"/>
  <c r="X472" i="21"/>
  <c r="X476" i="21"/>
  <c r="X213" i="21"/>
  <c r="X310" i="21"/>
  <c r="X312" i="21"/>
  <c r="X318" i="21"/>
  <c r="X349" i="21"/>
  <c r="X372" i="21"/>
  <c r="X379" i="21"/>
  <c r="X386" i="21"/>
  <c r="X393" i="21"/>
  <c r="X398" i="21"/>
  <c r="X403" i="21"/>
  <c r="X408" i="21"/>
  <c r="X238" i="21"/>
  <c r="X298" i="21"/>
  <c r="X315" i="21"/>
  <c r="X346" i="21"/>
  <c r="X352" i="21"/>
  <c r="X360" i="21"/>
  <c r="X364" i="21"/>
  <c r="X373" i="21"/>
  <c r="X380" i="21"/>
  <c r="X387" i="21"/>
  <c r="X394" i="21"/>
  <c r="X404" i="21"/>
  <c r="X409" i="21"/>
  <c r="X423" i="21"/>
  <c r="X428" i="21"/>
  <c r="X433" i="21"/>
  <c r="X438" i="21"/>
  <c r="X444" i="21"/>
  <c r="X455" i="21"/>
  <c r="X460" i="21"/>
  <c r="X286" i="21"/>
  <c r="X323" i="21"/>
  <c r="X331" i="21"/>
  <c r="X343" i="21"/>
  <c r="X374" i="21"/>
  <c r="X381" i="21"/>
  <c r="X388" i="21"/>
  <c r="X399" i="21"/>
  <c r="X410" i="21"/>
  <c r="X414" i="21"/>
  <c r="X434" i="21"/>
  <c r="X439" i="21"/>
  <c r="X445" i="21"/>
  <c r="X461" i="21"/>
  <c r="X467" i="21"/>
  <c r="X470" i="21"/>
  <c r="X473" i="21"/>
  <c r="X293" i="21"/>
  <c r="X314" i="21"/>
  <c r="X317" i="21"/>
  <c r="X351" i="21"/>
  <c r="X355" i="21"/>
  <c r="X359" i="21"/>
  <c r="X368" i="21"/>
  <c r="X330" i="21"/>
  <c r="X354" i="21"/>
  <c r="X362" i="21"/>
  <c r="X366" i="21"/>
  <c r="X377" i="21"/>
  <c r="X384" i="21"/>
  <c r="X396" i="21"/>
  <c r="X402" i="21"/>
  <c r="X406" i="21"/>
  <c r="X411" i="21"/>
  <c r="X426" i="21"/>
  <c r="X430" i="21"/>
  <c r="X435" i="21"/>
  <c r="X442" i="21"/>
  <c r="X447" i="21"/>
  <c r="X458" i="21"/>
  <c r="X464" i="21"/>
  <c r="X468" i="21"/>
  <c r="X325" i="21"/>
  <c r="X333" i="21"/>
  <c r="X370" i="21"/>
  <c r="X390" i="21"/>
  <c r="X421" i="21"/>
  <c r="X424" i="21"/>
  <c r="X427" i="21"/>
  <c r="X436" i="21"/>
  <c r="X453" i="21"/>
  <c r="X456" i="21"/>
  <c r="X459" i="21"/>
  <c r="X475" i="21"/>
  <c r="X478" i="21"/>
  <c r="X481" i="21"/>
  <c r="X486" i="21"/>
  <c r="X491" i="21"/>
  <c r="X264" i="21"/>
  <c r="X441" i="21"/>
  <c r="X471" i="21"/>
  <c r="X492" i="21"/>
  <c r="X290" i="21"/>
  <c r="X311" i="21"/>
  <c r="X400" i="21"/>
  <c r="X420" i="21"/>
  <c r="X429" i="21"/>
  <c r="X452" i="21"/>
  <c r="X474" i="21"/>
  <c r="X477" i="21"/>
  <c r="X482" i="21"/>
  <c r="X487" i="21"/>
  <c r="X493" i="21"/>
  <c r="X375" i="21"/>
  <c r="X383" i="21"/>
  <c r="X385" i="21"/>
  <c r="X432" i="21"/>
  <c r="X446" i="21"/>
  <c r="X488" i="21"/>
  <c r="X369" i="21"/>
  <c r="X389" i="21"/>
  <c r="X413" i="21"/>
  <c r="X440" i="21"/>
  <c r="X443" i="21"/>
  <c r="X463" i="21"/>
  <c r="X466" i="21"/>
  <c r="X483" i="21"/>
  <c r="X489" i="21"/>
  <c r="X494" i="21"/>
  <c r="X347" i="21"/>
  <c r="X367" i="21"/>
  <c r="X401" i="21"/>
  <c r="X412" i="21"/>
  <c r="X422" i="21"/>
  <c r="X454" i="21"/>
  <c r="X465" i="21"/>
  <c r="X469" i="21"/>
  <c r="X485" i="21"/>
  <c r="X490" i="21"/>
  <c r="X495" i="21"/>
  <c r="Z11" i="21"/>
  <c r="Z19" i="21"/>
  <c r="Z27" i="21"/>
  <c r="Z35" i="21"/>
  <c r="Z41" i="21"/>
  <c r="Z47" i="21"/>
  <c r="Z55" i="21"/>
  <c r="Z63" i="21"/>
  <c r="Z71" i="21"/>
  <c r="Z79" i="21"/>
  <c r="Z6" i="21"/>
  <c r="Z14" i="21"/>
  <c r="Z22" i="21"/>
  <c r="Z30" i="21"/>
  <c r="Z43" i="21"/>
  <c r="Z50" i="21"/>
  <c r="Z58" i="21"/>
  <c r="Z66" i="21"/>
  <c r="Z74" i="21"/>
  <c r="Z82" i="21"/>
  <c r="Z7" i="21"/>
  <c r="Z15" i="21"/>
  <c r="Z23" i="21"/>
  <c r="Z31" i="21"/>
  <c r="Z38" i="21"/>
  <c r="Z44" i="21"/>
  <c r="Z51" i="21"/>
  <c r="Z59" i="21"/>
  <c r="Z67" i="21"/>
  <c r="Z75" i="21"/>
  <c r="Z83" i="21"/>
  <c r="Z9" i="21"/>
  <c r="Z17" i="21"/>
  <c r="Z25" i="21"/>
  <c r="Z33" i="21"/>
  <c r="Z53" i="21"/>
  <c r="Z61" i="21"/>
  <c r="Z69" i="21"/>
  <c r="Z77" i="21"/>
  <c r="Z3" i="21"/>
  <c r="Z10" i="21"/>
  <c r="Z18" i="21"/>
  <c r="Z26" i="21"/>
  <c r="Z34" i="21"/>
  <c r="Z40" i="21"/>
  <c r="Z46" i="21"/>
  <c r="Z54" i="21"/>
  <c r="Z62" i="21"/>
  <c r="Z70" i="21"/>
  <c r="Z78" i="21"/>
  <c r="Z88" i="21"/>
  <c r="Z93" i="21"/>
  <c r="Z103" i="21"/>
  <c r="Z135" i="21"/>
  <c r="Z4" i="21"/>
  <c r="Z8" i="21"/>
  <c r="Z12" i="21"/>
  <c r="Z16" i="21"/>
  <c r="Z20" i="21"/>
  <c r="Z24" i="21"/>
  <c r="Z28" i="21"/>
  <c r="Z32" i="21"/>
  <c r="Z36" i="21"/>
  <c r="Z48" i="21"/>
  <c r="Z52" i="21"/>
  <c r="Z56" i="21"/>
  <c r="Z60" i="21"/>
  <c r="Z64" i="21"/>
  <c r="Z68" i="21"/>
  <c r="Z72" i="21"/>
  <c r="Z76" i="21"/>
  <c r="Z80" i="21"/>
  <c r="Z89" i="21"/>
  <c r="Z98" i="21"/>
  <c r="Z104" i="21"/>
  <c r="Z109" i="21"/>
  <c r="Z42" i="21"/>
  <c r="Z84" i="21"/>
  <c r="Z85" i="21"/>
  <c r="Z94" i="21"/>
  <c r="Z105" i="21"/>
  <c r="Z120" i="21"/>
  <c r="Z90" i="21"/>
  <c r="Z99" i="21"/>
  <c r="Z110" i="21"/>
  <c r="Z115" i="21"/>
  <c r="Z121" i="21"/>
  <c r="Z5" i="21"/>
  <c r="Z13" i="21"/>
  <c r="Z21" i="21"/>
  <c r="Z29" i="21"/>
  <c r="Z37" i="21"/>
  <c r="Z49" i="21"/>
  <c r="Z57" i="21"/>
  <c r="Z65" i="21"/>
  <c r="Z73" i="21"/>
  <c r="Z81" i="21"/>
  <c r="Z92" i="21"/>
  <c r="Z97" i="21"/>
  <c r="Z102" i="21"/>
  <c r="Z107" i="21"/>
  <c r="Z112" i="21"/>
  <c r="Z86" i="21"/>
  <c r="Z127" i="21"/>
  <c r="Z131" i="21"/>
  <c r="AB131" i="21"/>
  <c r="Z132" i="21"/>
  <c r="Z133" i="21"/>
  <c r="Z136" i="21"/>
  <c r="Z142" i="21"/>
  <c r="Z149" i="21"/>
  <c r="Z156" i="21"/>
  <c r="Z164" i="21"/>
  <c r="Z45" i="21"/>
  <c r="Z101" i="21"/>
  <c r="Z118" i="21"/>
  <c r="Z125" i="21"/>
  <c r="Z126" i="21"/>
  <c r="Z134" i="21"/>
  <c r="Z143" i="21"/>
  <c r="Z150" i="21"/>
  <c r="Z157" i="21"/>
  <c r="AB157" i="21"/>
  <c r="Z96" i="21"/>
  <c r="Z124" i="21"/>
  <c r="Z137" i="21"/>
  <c r="Z144" i="21"/>
  <c r="Z151" i="21"/>
  <c r="Z158" i="21"/>
  <c r="Z166" i="21"/>
  <c r="Z174" i="21"/>
  <c r="Z145" i="21"/>
  <c r="Z152" i="21"/>
  <c r="Z159" i="21"/>
  <c r="Z167" i="21"/>
  <c r="Z87" i="21"/>
  <c r="Z100" i="21"/>
  <c r="Z111" i="21"/>
  <c r="Z114" i="21"/>
  <c r="Z117" i="21"/>
  <c r="Z123" i="21"/>
  <c r="Z138" i="21"/>
  <c r="Z153" i="21"/>
  <c r="Z160" i="21"/>
  <c r="Z139" i="21"/>
  <c r="Z179" i="21"/>
  <c r="Z187" i="21"/>
  <c r="AB187" i="21"/>
  <c r="Z195" i="21"/>
  <c r="Z205" i="21"/>
  <c r="Z212" i="21"/>
  <c r="Z219" i="21"/>
  <c r="Z106" i="21"/>
  <c r="Z147" i="21"/>
  <c r="Z161" i="21"/>
  <c r="Z171" i="21"/>
  <c r="AB171" i="21"/>
  <c r="Z180" i="21"/>
  <c r="Z188" i="21"/>
  <c r="Z200" i="21"/>
  <c r="Z206" i="21"/>
  <c r="Z122" i="21"/>
  <c r="Z130" i="21"/>
  <c r="Z141" i="21"/>
  <c r="Z155" i="21"/>
  <c r="Z181" i="21"/>
  <c r="Z189" i="21"/>
  <c r="Z196" i="21"/>
  <c r="Z214" i="21"/>
  <c r="Z221" i="21"/>
  <c r="Z128" i="21"/>
  <c r="Z146" i="21"/>
  <c r="Z154" i="21"/>
  <c r="AB154" i="21"/>
  <c r="Z169" i="21"/>
  <c r="Z175" i="21"/>
  <c r="Z183" i="21"/>
  <c r="Z191" i="21"/>
  <c r="Z91" i="21"/>
  <c r="Z140" i="21"/>
  <c r="Z163" i="21"/>
  <c r="Z168" i="21"/>
  <c r="Z176" i="21"/>
  <c r="Z184" i="21"/>
  <c r="Z39" i="21"/>
  <c r="Z129" i="21"/>
  <c r="Z178" i="21"/>
  <c r="Z186" i="21"/>
  <c r="Z190" i="21"/>
  <c r="Z193" i="21"/>
  <c r="Z197" i="21"/>
  <c r="Z201" i="21"/>
  <c r="Z225" i="21"/>
  <c r="Z231" i="21"/>
  <c r="Z116" i="21"/>
  <c r="Z211" i="21"/>
  <c r="Z226" i="21"/>
  <c r="Z243" i="21"/>
  <c r="Z247" i="21"/>
  <c r="Z252" i="21"/>
  <c r="Z172" i="21"/>
  <c r="Z210" i="21"/>
  <c r="Z218" i="21"/>
  <c r="Z227" i="21"/>
  <c r="Z232" i="21"/>
  <c r="Z238" i="21"/>
  <c r="Z248" i="21"/>
  <c r="Z257" i="21"/>
  <c r="Z268" i="21"/>
  <c r="Z108" i="21"/>
  <c r="Z113" i="21"/>
  <c r="Z177" i="21"/>
  <c r="Z185" i="21"/>
  <c r="Z192" i="21"/>
  <c r="AB192" i="21"/>
  <c r="Z209" i="21"/>
  <c r="Z217" i="21"/>
  <c r="Z233" i="21"/>
  <c r="Z239" i="21"/>
  <c r="Z244" i="21"/>
  <c r="Z253" i="21"/>
  <c r="Z258" i="21"/>
  <c r="Z148" i="21"/>
  <c r="Z162" i="21"/>
  <c r="Z194" i="21"/>
  <c r="Z198" i="21"/>
  <c r="Z203" i="21"/>
  <c r="Z213" i="21"/>
  <c r="Z236" i="21"/>
  <c r="Z241" i="21"/>
  <c r="Z254" i="21"/>
  <c r="AB254" i="21"/>
  <c r="Z265" i="21"/>
  <c r="Z270" i="21"/>
  <c r="Z223" i="21"/>
  <c r="Z229" i="21"/>
  <c r="Z235" i="21"/>
  <c r="Z240" i="21"/>
  <c r="Z263" i="21"/>
  <c r="Z264" i="21"/>
  <c r="Z277" i="21"/>
  <c r="Z283" i="21"/>
  <c r="Z289" i="21"/>
  <c r="Z293" i="21"/>
  <c r="Z297" i="21"/>
  <c r="Z308" i="21"/>
  <c r="Z216" i="21"/>
  <c r="Z249" i="21"/>
  <c r="Z262" i="21"/>
  <c r="Z272" i="21"/>
  <c r="Z273" i="21"/>
  <c r="Z284" i="21"/>
  <c r="Z290" i="21"/>
  <c r="Z298" i="21"/>
  <c r="Z303" i="21"/>
  <c r="Z182" i="21"/>
  <c r="AB182" i="21"/>
  <c r="Z237" i="21"/>
  <c r="Z246" i="21"/>
  <c r="Z255" i="21"/>
  <c r="Z261" i="21"/>
  <c r="Z271" i="21"/>
  <c r="Z274" i="21"/>
  <c r="Z278" i="21"/>
  <c r="Z304" i="21"/>
  <c r="Z309" i="21"/>
  <c r="Z173" i="21"/>
  <c r="Z228" i="21"/>
  <c r="Z234" i="21"/>
  <c r="Z242" i="21"/>
  <c r="Z260" i="21"/>
  <c r="Z207" i="21"/>
  <c r="Z222" i="21"/>
  <c r="Z224" i="21"/>
  <c r="Z230" i="21"/>
  <c r="Z245" i="21"/>
  <c r="Z251" i="21"/>
  <c r="Z269" i="21"/>
  <c r="Z275" i="21"/>
  <c r="Z280" i="21"/>
  <c r="Z300" i="21"/>
  <c r="Z305" i="21"/>
  <c r="Z119" i="21"/>
  <c r="Z204" i="21"/>
  <c r="Z215" i="21"/>
  <c r="Z266" i="21"/>
  <c r="Z281" i="21"/>
  <c r="Z286" i="21"/>
  <c r="Z295" i="21"/>
  <c r="Z306" i="21"/>
  <c r="Z311" i="21"/>
  <c r="Z307" i="21"/>
  <c r="Z312" i="21"/>
  <c r="Z317" i="21"/>
  <c r="Z330" i="21"/>
  <c r="Z346" i="21"/>
  <c r="Z354" i="21"/>
  <c r="Z95" i="21"/>
  <c r="Z279" i="21"/>
  <c r="Z294" i="21"/>
  <c r="Z296" i="21"/>
  <c r="Z199" i="21"/>
  <c r="Z250" i="21"/>
  <c r="Z285" i="21"/>
  <c r="Z287" i="21"/>
  <c r="Z313" i="21"/>
  <c r="Z324" i="21"/>
  <c r="Z332" i="21"/>
  <c r="Z337" i="21"/>
  <c r="Z341" i="21"/>
  <c r="Z348" i="21"/>
  <c r="Z356" i="21"/>
  <c r="Z363" i="21"/>
  <c r="Z259" i="21"/>
  <c r="Z276" i="21"/>
  <c r="Z320" i="21"/>
  <c r="Z326" i="21"/>
  <c r="Z334" i="21"/>
  <c r="Z338" i="21"/>
  <c r="Z342" i="21"/>
  <c r="Z165" i="21"/>
  <c r="AB165" i="21"/>
  <c r="Z282" i="21"/>
  <c r="Z315" i="21"/>
  <c r="Z327" i="21"/>
  <c r="Z335" i="21"/>
  <c r="Z339" i="21"/>
  <c r="Z343" i="21"/>
  <c r="Z351" i="21"/>
  <c r="Z359" i="21"/>
  <c r="Z366" i="21"/>
  <c r="Z291" i="21"/>
  <c r="Z319" i="21"/>
  <c r="Z344" i="21"/>
  <c r="Z347" i="21"/>
  <c r="Z377" i="21"/>
  <c r="Z384" i="21"/>
  <c r="Z396" i="21"/>
  <c r="Z402" i="21"/>
  <c r="Z406" i="21"/>
  <c r="Z411" i="21"/>
  <c r="Z426" i="21"/>
  <c r="Z430" i="21"/>
  <c r="Z435" i="21"/>
  <c r="Z442" i="21"/>
  <c r="Z447" i="21"/>
  <c r="Z458" i="21"/>
  <c r="Z464" i="21"/>
  <c r="Z468" i="21"/>
  <c r="Z288" i="21"/>
  <c r="Z321" i="21"/>
  <c r="Z353" i="21"/>
  <c r="Z357" i="21"/>
  <c r="Z361" i="21"/>
  <c r="Z365" i="21"/>
  <c r="Z370" i="21"/>
  <c r="Z385" i="21"/>
  <c r="Z391" i="21"/>
  <c r="Z397" i="21"/>
  <c r="Z208" i="21"/>
  <c r="Z292" i="21"/>
  <c r="Z301" i="21"/>
  <c r="Z310" i="21"/>
  <c r="Z318" i="21"/>
  <c r="Z329" i="21"/>
  <c r="Z349" i="21"/>
  <c r="Z371" i="21"/>
  <c r="Z378" i="21"/>
  <c r="Z392" i="21"/>
  <c r="Z407" i="21"/>
  <c r="Z417" i="21"/>
  <c r="Z437" i="21"/>
  <c r="Z449" i="21"/>
  <c r="Z472" i="21"/>
  <c r="Z476" i="21"/>
  <c r="Z202" i="21"/>
  <c r="Z220" i="21"/>
  <c r="Z352" i="21"/>
  <c r="Z360" i="21"/>
  <c r="Z364" i="21"/>
  <c r="Z372" i="21"/>
  <c r="Z379" i="21"/>
  <c r="Z386" i="21"/>
  <c r="Z393" i="21"/>
  <c r="Z398" i="21"/>
  <c r="Z403" i="21"/>
  <c r="Z408" i="21"/>
  <c r="Z413" i="21"/>
  <c r="Z418" i="21"/>
  <c r="Z422" i="21"/>
  <c r="Z427" i="21"/>
  <c r="Z432" i="21"/>
  <c r="Z443" i="21"/>
  <c r="Z450" i="21"/>
  <c r="AB450" i="21"/>
  <c r="Z454" i="21"/>
  <c r="Z459" i="21"/>
  <c r="Z466" i="21"/>
  <c r="Z469" i="21"/>
  <c r="Z477" i="21"/>
  <c r="Z267" i="21"/>
  <c r="Z323" i="21"/>
  <c r="Z328" i="21"/>
  <c r="Z331" i="21"/>
  <c r="Z340" i="21"/>
  <c r="Z170" i="21"/>
  <c r="Z325" i="21"/>
  <c r="Z333" i="21"/>
  <c r="Z336" i="21"/>
  <c r="Z345" i="21"/>
  <c r="Z367" i="21"/>
  <c r="Z368" i="21"/>
  <c r="Z375" i="21"/>
  <c r="Z382" i="21"/>
  <c r="Z389" i="21"/>
  <c r="Z400" i="21"/>
  <c r="Z405" i="21"/>
  <c r="Z419" i="21"/>
  <c r="Z424" i="21"/>
  <c r="Z429" i="21"/>
  <c r="Z440" i="21"/>
  <c r="Z451" i="21"/>
  <c r="Z456" i="21"/>
  <c r="Z462" i="21"/>
  <c r="Z256" i="21"/>
  <c r="Z374" i="21"/>
  <c r="Z376" i="21"/>
  <c r="AB376" i="21"/>
  <c r="Z409" i="21"/>
  <c r="Z415" i="21"/>
  <c r="Z433" i="21"/>
  <c r="Z439" i="21"/>
  <c r="Z485" i="21"/>
  <c r="Z490" i="21"/>
  <c r="Z495" i="21"/>
  <c r="Z314" i="21"/>
  <c r="Z388" i="21"/>
  <c r="Z390" i="21"/>
  <c r="Z394" i="21"/>
  <c r="Z421" i="21"/>
  <c r="Z436" i="21"/>
  <c r="Z444" i="21"/>
  <c r="Z453" i="21"/>
  <c r="Z475" i="21"/>
  <c r="Z479" i="21"/>
  <c r="Z480" i="21"/>
  <c r="Z496" i="21"/>
  <c r="Z438" i="21"/>
  <c r="Z441" i="21"/>
  <c r="Z471" i="21"/>
  <c r="Z478" i="21"/>
  <c r="Z481" i="21"/>
  <c r="AB481" i="21"/>
  <c r="Z486" i="21"/>
  <c r="Z491" i="21"/>
  <c r="Z302" i="21"/>
  <c r="Z322" i="21"/>
  <c r="Z373" i="21"/>
  <c r="Z404" i="21"/>
  <c r="Z414" i="21"/>
  <c r="Z420" i="21"/>
  <c r="Z423" i="21"/>
  <c r="Z452" i="21"/>
  <c r="Z455" i="21"/>
  <c r="Z461" i="21"/>
  <c r="Z467" i="21"/>
  <c r="Z474" i="21"/>
  <c r="Z492" i="21"/>
  <c r="Z350" i="21"/>
  <c r="Z358" i="21"/>
  <c r="Z362" i="21"/>
  <c r="Z381" i="21"/>
  <c r="Z383" i="21"/>
  <c r="Z387" i="21"/>
  <c r="Z446" i="21"/>
  <c r="Z482" i="21"/>
  <c r="Z487" i="21"/>
  <c r="Z493" i="21"/>
  <c r="Z316" i="21"/>
  <c r="Z355" i="21"/>
  <c r="Z395" i="21"/>
  <c r="Z416" i="21"/>
  <c r="Z425" i="21"/>
  <c r="Z431" i="21"/>
  <c r="Z434" i="21"/>
  <c r="Z448" i="21"/>
  <c r="Z457" i="21"/>
  <c r="Z473" i="21"/>
  <c r="Z483" i="21"/>
  <c r="Z489" i="21"/>
  <c r="Z494" i="21"/>
  <c r="AA501" i="21"/>
  <c r="Y497" i="21"/>
  <c r="Y490" i="21"/>
  <c r="AA482" i="21"/>
  <c r="Y476" i="21"/>
  <c r="Y472" i="21"/>
  <c r="X457" i="21"/>
  <c r="X425" i="21"/>
  <c r="AA387" i="21"/>
  <c r="Y4" i="21"/>
  <c r="Y12" i="21"/>
  <c r="Y20" i="21"/>
  <c r="Y28" i="21"/>
  <c r="Y36" i="21"/>
  <c r="Y48" i="21"/>
  <c r="Y56" i="21"/>
  <c r="Y64" i="21"/>
  <c r="Y72" i="21"/>
  <c r="AB72" i="21"/>
  <c r="Y80" i="21"/>
  <c r="Y7" i="21"/>
  <c r="Y15" i="21"/>
  <c r="Y23" i="21"/>
  <c r="Y31" i="21"/>
  <c r="Y38" i="21"/>
  <c r="Y44" i="21"/>
  <c r="Y51" i="21"/>
  <c r="Y59" i="21"/>
  <c r="Y67" i="21"/>
  <c r="Y75" i="21"/>
  <c r="Y83" i="21"/>
  <c r="Y8" i="21"/>
  <c r="Y16" i="21"/>
  <c r="Y24" i="21"/>
  <c r="Y32" i="21"/>
  <c r="Y39" i="21"/>
  <c r="Y45" i="21"/>
  <c r="Y52" i="21"/>
  <c r="Y60" i="21"/>
  <c r="Y68" i="21"/>
  <c r="Y76" i="21"/>
  <c r="Y84" i="21"/>
  <c r="Y3" i="21"/>
  <c r="Y10" i="21"/>
  <c r="Y18" i="21"/>
  <c r="Y26" i="21"/>
  <c r="Y34" i="21"/>
  <c r="Y40" i="21"/>
  <c r="Y46" i="21"/>
  <c r="Y54" i="21"/>
  <c r="Y62" i="21"/>
  <c r="Y70" i="21"/>
  <c r="Y78" i="21"/>
  <c r="Y11" i="21"/>
  <c r="Y19" i="21"/>
  <c r="Y27" i="21"/>
  <c r="Y35" i="21"/>
  <c r="Y41" i="21"/>
  <c r="Y47" i="21"/>
  <c r="Y55" i="21"/>
  <c r="Y63" i="21"/>
  <c r="Y71" i="21"/>
  <c r="Y79" i="21"/>
  <c r="Y89" i="21"/>
  <c r="Y98" i="21"/>
  <c r="Y104" i="21"/>
  <c r="Y109" i="21"/>
  <c r="AB109" i="21"/>
  <c r="Y114" i="21"/>
  <c r="Y119" i="21"/>
  <c r="Y124" i="21"/>
  <c r="Y129" i="21"/>
  <c r="Y136" i="21"/>
  <c r="Y42" i="21"/>
  <c r="Y85" i="21"/>
  <c r="Y94" i="21"/>
  <c r="Y105" i="21"/>
  <c r="Y6" i="21"/>
  <c r="Y14" i="21"/>
  <c r="Y22" i="21"/>
  <c r="Y30" i="21"/>
  <c r="Y50" i="21"/>
  <c r="Y58" i="21"/>
  <c r="Y66" i="21"/>
  <c r="AB66" i="21"/>
  <c r="Y74" i="21"/>
  <c r="Y82" i="21"/>
  <c r="Y90" i="21"/>
  <c r="Y99" i="21"/>
  <c r="Y110" i="21"/>
  <c r="Y115" i="21"/>
  <c r="Y121" i="21"/>
  <c r="Y125" i="21"/>
  <c r="Y95" i="21"/>
  <c r="Y100" i="21"/>
  <c r="Y106" i="21"/>
  <c r="Y116" i="21"/>
  <c r="Y43" i="21"/>
  <c r="Y87" i="21"/>
  <c r="Y108" i="21"/>
  <c r="Y113" i="21"/>
  <c r="Y118" i="21"/>
  <c r="Y123" i="21"/>
  <c r="Y101" i="21"/>
  <c r="Y126" i="21"/>
  <c r="Y134" i="21"/>
  <c r="Y135" i="21"/>
  <c r="Y143" i="21"/>
  <c r="Y150" i="21"/>
  <c r="AB150" i="21"/>
  <c r="Y157" i="21"/>
  <c r="Y165" i="21"/>
  <c r="Y5" i="21"/>
  <c r="Y9" i="21"/>
  <c r="Y13" i="21"/>
  <c r="Y17" i="21"/>
  <c r="Y21" i="21"/>
  <c r="Y25" i="21"/>
  <c r="AB25" i="21"/>
  <c r="Y29" i="21"/>
  <c r="Y33" i="21"/>
  <c r="Y37" i="21"/>
  <c r="Y49" i="21"/>
  <c r="Y53" i="21"/>
  <c r="Y57" i="21"/>
  <c r="Y61" i="21"/>
  <c r="Y65" i="21"/>
  <c r="Y69" i="21"/>
  <c r="Y73" i="21"/>
  <c r="Y77" i="21"/>
  <c r="Y81" i="21"/>
  <c r="Y92" i="21"/>
  <c r="Y96" i="21"/>
  <c r="Y103" i="21"/>
  <c r="Y112" i="21"/>
  <c r="Y137" i="21"/>
  <c r="Y144" i="21"/>
  <c r="Y151" i="21"/>
  <c r="Y158" i="21"/>
  <c r="Y107" i="21"/>
  <c r="Y145" i="21"/>
  <c r="Y152" i="21"/>
  <c r="Y159" i="21"/>
  <c r="AB159" i="21"/>
  <c r="Y167" i="21"/>
  <c r="Y111" i="21"/>
  <c r="Y117" i="21"/>
  <c r="Y120" i="21"/>
  <c r="Y138" i="21"/>
  <c r="Y153" i="21"/>
  <c r="Y160" i="21"/>
  <c r="Y168" i="21"/>
  <c r="AB168" i="21"/>
  <c r="Y91" i="21"/>
  <c r="Y139" i="21"/>
  <c r="Y146" i="21"/>
  <c r="Y154" i="21"/>
  <c r="Y161" i="21"/>
  <c r="Y127" i="21"/>
  <c r="Y132" i="21"/>
  <c r="Y147" i="21"/>
  <c r="Y171" i="21"/>
  <c r="Y180" i="21"/>
  <c r="Y188" i="21"/>
  <c r="Y200" i="21"/>
  <c r="Y206" i="21"/>
  <c r="Y213" i="21"/>
  <c r="Y220" i="21"/>
  <c r="Y93" i="21"/>
  <c r="Y122" i="21"/>
  <c r="Y130" i="21"/>
  <c r="Y141" i="21"/>
  <c r="Y149" i="21"/>
  <c r="Y155" i="21"/>
  <c r="Y164" i="21"/>
  <c r="Y181" i="21"/>
  <c r="Y189" i="21"/>
  <c r="AB189" i="21"/>
  <c r="Y196" i="21"/>
  <c r="Y166" i="21"/>
  <c r="Y170" i="21"/>
  <c r="Y182" i="21"/>
  <c r="Y190" i="21"/>
  <c r="Y201" i="21"/>
  <c r="Y207" i="21"/>
  <c r="Y97" i="21"/>
  <c r="AB97" i="21"/>
  <c r="Y140" i="21"/>
  <c r="Y163" i="21"/>
  <c r="Y174" i="21"/>
  <c r="Y176" i="21"/>
  <c r="Y184" i="21"/>
  <c r="AB184" i="21"/>
  <c r="Y192" i="21"/>
  <c r="Y131" i="21"/>
  <c r="Y142" i="21"/>
  <c r="AB142" i="21"/>
  <c r="Y148" i="21"/>
  <c r="Y156" i="21"/>
  <c r="Y173" i="21"/>
  <c r="Y177" i="21"/>
  <c r="Y185" i="21"/>
  <c r="Y86" i="21"/>
  <c r="Y169" i="21"/>
  <c r="Y211" i="21"/>
  <c r="Y219" i="21"/>
  <c r="Y226" i="21"/>
  <c r="Y102" i="21"/>
  <c r="Y172" i="21"/>
  <c r="Y205" i="21"/>
  <c r="Y210" i="21"/>
  <c r="Y218" i="21"/>
  <c r="Y227" i="21"/>
  <c r="AB227" i="21"/>
  <c r="Y232" i="21"/>
  <c r="Y238" i="21"/>
  <c r="Y248" i="21"/>
  <c r="Y257" i="21"/>
  <c r="Y195" i="21"/>
  <c r="Y209" i="21"/>
  <c r="Y217" i="21"/>
  <c r="Y233" i="21"/>
  <c r="Y239" i="21"/>
  <c r="Y244" i="21"/>
  <c r="Y253" i="21"/>
  <c r="Y258" i="21"/>
  <c r="Y262" i="21"/>
  <c r="Y88" i="21"/>
  <c r="Y175" i="21"/>
  <c r="Y183" i="21"/>
  <c r="AB183" i="21"/>
  <c r="Y199" i="21"/>
  <c r="Y204" i="21"/>
  <c r="Y208" i="21"/>
  <c r="Y215" i="21"/>
  <c r="Y216" i="21"/>
  <c r="Y228" i="21"/>
  <c r="Y234" i="21"/>
  <c r="Y240" i="21"/>
  <c r="AB240" i="21"/>
  <c r="Y249" i="21"/>
  <c r="Y133" i="21"/>
  <c r="Y202" i="21"/>
  <c r="Y224" i="21"/>
  <c r="Y230" i="21"/>
  <c r="Y242" i="21"/>
  <c r="Y251" i="21"/>
  <c r="Y255" i="21"/>
  <c r="Y260" i="21"/>
  <c r="Y266" i="21"/>
  <c r="Y271" i="21"/>
  <c r="Y128" i="21"/>
  <c r="Y178" i="21"/>
  <c r="Y194" i="21"/>
  <c r="Y197" i="21"/>
  <c r="Y221" i="21"/>
  <c r="AB221" i="21"/>
  <c r="Y272" i="21"/>
  <c r="Y273" i="21"/>
  <c r="Y284" i="21"/>
  <c r="Y290" i="21"/>
  <c r="Y298" i="21"/>
  <c r="AB298" i="21"/>
  <c r="Y303" i="21"/>
  <c r="Y214" i="21"/>
  <c r="Y237" i="21"/>
  <c r="AB237" i="21"/>
  <c r="Y243" i="21"/>
  <c r="Y246" i="21"/>
  <c r="Y261" i="21"/>
  <c r="Y274" i="21"/>
  <c r="Y278" i="21"/>
  <c r="Y304" i="21"/>
  <c r="Y179" i="21"/>
  <c r="Y203" i="21"/>
  <c r="AB203" i="21"/>
  <c r="Y252" i="21"/>
  <c r="Y279" i="21"/>
  <c r="Y285" i="21"/>
  <c r="Y291" i="21"/>
  <c r="Y294" i="21"/>
  <c r="Y299" i="21"/>
  <c r="Y162" i="21"/>
  <c r="Y198" i="21"/>
  <c r="Y222" i="21"/>
  <c r="Y245" i="21"/>
  <c r="Y269" i="21"/>
  <c r="Y270" i="21"/>
  <c r="Y186" i="21"/>
  <c r="Y212" i="21"/>
  <c r="Y236" i="21"/>
  <c r="Y268" i="21"/>
  <c r="Y281" i="21"/>
  <c r="Y286" i="21"/>
  <c r="Y295" i="21"/>
  <c r="Y306" i="21"/>
  <c r="Y193" i="21"/>
  <c r="Y254" i="21"/>
  <c r="Y259" i="21"/>
  <c r="Y267" i="21"/>
  <c r="Y276" i="21"/>
  <c r="Y282" i="21"/>
  <c r="Y287" i="21"/>
  <c r="Y292" i="21"/>
  <c r="Y296" i="21"/>
  <c r="Y301" i="21"/>
  <c r="Y229" i="21"/>
  <c r="Y275" i="21"/>
  <c r="Y310" i="21"/>
  <c r="Y311" i="21"/>
  <c r="Y318" i="21"/>
  <c r="Y323" i="21"/>
  <c r="Y331" i="21"/>
  <c r="AB331" i="21"/>
  <c r="Y347" i="21"/>
  <c r="Y355" i="21"/>
  <c r="Y362" i="21"/>
  <c r="Y187" i="21"/>
  <c r="Y235" i="21"/>
  <c r="Y250" i="21"/>
  <c r="Y265" i="21"/>
  <c r="Y277" i="21"/>
  <c r="Y225" i="21"/>
  <c r="Y283" i="21"/>
  <c r="Y300" i="21"/>
  <c r="Y302" i="21"/>
  <c r="Y309" i="21"/>
  <c r="Y314" i="21"/>
  <c r="Y319" i="21"/>
  <c r="Y325" i="21"/>
  <c r="Y333" i="21"/>
  <c r="Y349" i="21"/>
  <c r="Y357" i="21"/>
  <c r="Y364" i="21"/>
  <c r="Y263" i="21"/>
  <c r="Y293" i="21"/>
  <c r="Y315" i="21"/>
  <c r="Y327" i="21"/>
  <c r="Y335" i="21"/>
  <c r="Y339" i="21"/>
  <c r="Y343" i="21"/>
  <c r="Y241" i="21"/>
  <c r="Y280" i="21"/>
  <c r="Y308" i="21"/>
  <c r="Y316" i="21"/>
  <c r="Y321" i="21"/>
  <c r="Y328" i="21"/>
  <c r="Y344" i="21"/>
  <c r="Y352" i="21"/>
  <c r="Y360" i="21"/>
  <c r="Y367" i="21"/>
  <c r="Y231" i="21"/>
  <c r="Y247" i="21"/>
  <c r="Y264" i="21"/>
  <c r="Y288" i="21"/>
  <c r="Y324" i="21"/>
  <c r="Y332" i="21"/>
  <c r="Y338" i="21"/>
  <c r="Y353" i="21"/>
  <c r="Y361" i="21"/>
  <c r="Y365" i="21"/>
  <c r="Y370" i="21"/>
  <c r="Y385" i="21"/>
  <c r="Y391" i="21"/>
  <c r="Y397" i="21"/>
  <c r="Y412" i="21"/>
  <c r="Y416" i="21"/>
  <c r="Y421" i="21"/>
  <c r="Y431" i="21"/>
  <c r="Y436" i="21"/>
  <c r="Y448" i="21"/>
  <c r="Y453" i="21"/>
  <c r="Y465" i="21"/>
  <c r="AB465" i="21"/>
  <c r="Y475" i="21"/>
  <c r="Y307" i="21"/>
  <c r="Y329" i="21"/>
  <c r="Y341" i="21"/>
  <c r="Y371" i="21"/>
  <c r="Y378" i="21"/>
  <c r="Y392" i="21"/>
  <c r="Y407" i="21"/>
  <c r="Y312" i="21"/>
  <c r="Y326" i="21"/>
  <c r="Y334" i="21"/>
  <c r="Y356" i="21"/>
  <c r="Y372" i="21"/>
  <c r="Y379" i="21"/>
  <c r="Y386" i="21"/>
  <c r="Y393" i="21"/>
  <c r="Y398" i="21"/>
  <c r="Y403" i="21"/>
  <c r="Y408" i="21"/>
  <c r="Y413" i="21"/>
  <c r="Y418" i="21"/>
  <c r="Y422" i="21"/>
  <c r="Y427" i="21"/>
  <c r="Y432" i="21"/>
  <c r="Y443" i="21"/>
  <c r="Y450" i="21"/>
  <c r="Y454" i="21"/>
  <c r="Y459" i="21"/>
  <c r="Y466" i="21"/>
  <c r="Y469" i="21"/>
  <c r="Y477" i="21"/>
  <c r="Y289" i="21"/>
  <c r="AB289" i="21"/>
  <c r="Y337" i="21"/>
  <c r="Y340" i="21"/>
  <c r="Y346" i="21"/>
  <c r="Y373" i="21"/>
  <c r="Y380" i="21"/>
  <c r="Y387" i="21"/>
  <c r="Y394" i="21"/>
  <c r="Y404" i="21"/>
  <c r="Y409" i="21"/>
  <c r="Y423" i="21"/>
  <c r="Y428" i="21"/>
  <c r="Y433" i="21"/>
  <c r="Y438" i="21"/>
  <c r="Y444" i="21"/>
  <c r="Y455" i="21"/>
  <c r="Y460" i="21"/>
  <c r="AB460" i="21"/>
  <c r="Y191" i="21"/>
  <c r="Y256" i="21"/>
  <c r="Y305" i="21"/>
  <c r="Y320" i="21"/>
  <c r="Y348" i="21"/>
  <c r="Y363" i="21"/>
  <c r="Y322" i="21"/>
  <c r="Y342" i="21"/>
  <c r="AB342" i="21"/>
  <c r="Y350" i="21"/>
  <c r="Y358" i="21"/>
  <c r="Y369" i="21"/>
  <c r="Y376" i="21"/>
  <c r="Y383" i="21"/>
  <c r="AB383" i="21"/>
  <c r="Y390" i="21"/>
  <c r="Y395" i="21"/>
  <c r="Y401" i="21"/>
  <c r="Y415" i="21"/>
  <c r="Y420" i="21"/>
  <c r="Y425" i="21"/>
  <c r="Y441" i="21"/>
  <c r="Y446" i="21"/>
  <c r="AB446" i="21"/>
  <c r="Y452" i="21"/>
  <c r="Y457" i="21"/>
  <c r="Y463" i="21"/>
  <c r="Y471" i="21"/>
  <c r="Y474" i="21"/>
  <c r="Y317" i="21"/>
  <c r="Y382" i="21"/>
  <c r="Y388" i="21"/>
  <c r="Y405" i="21"/>
  <c r="Y430" i="21"/>
  <c r="Y447" i="21"/>
  <c r="Y462" i="21"/>
  <c r="Y468" i="21"/>
  <c r="Y479" i="21"/>
  <c r="Y480" i="21"/>
  <c r="Y345" i="21"/>
  <c r="Y368" i="21"/>
  <c r="Y396" i="21"/>
  <c r="Y411" i="21"/>
  <c r="AB411" i="21"/>
  <c r="Y424" i="21"/>
  <c r="Y456" i="21"/>
  <c r="Y464" i="21"/>
  <c r="Y478" i="21"/>
  <c r="Y481" i="21"/>
  <c r="Y486" i="21"/>
  <c r="Y491" i="21"/>
  <c r="Y402" i="21"/>
  <c r="AB402" i="21"/>
  <c r="Y414" i="21"/>
  <c r="Y417" i="21"/>
  <c r="Y426" i="21"/>
  <c r="Y449" i="21"/>
  <c r="Y458" i="21"/>
  <c r="AB458" i="21"/>
  <c r="Y461" i="21"/>
  <c r="Y467" i="21"/>
  <c r="Y492" i="21"/>
  <c r="AB492" i="21"/>
  <c r="Y330" i="21"/>
  <c r="Y377" i="21"/>
  <c r="Y381" i="21"/>
  <c r="Y400" i="21"/>
  <c r="Y429" i="21"/>
  <c r="Y435" i="21"/>
  <c r="Y482" i="21"/>
  <c r="Y487" i="21"/>
  <c r="Y493" i="21"/>
  <c r="Y223" i="21"/>
  <c r="Y297" i="21"/>
  <c r="Y354" i="21"/>
  <c r="Y366" i="21"/>
  <c r="Y375" i="21"/>
  <c r="Y406" i="21"/>
  <c r="Y410" i="21"/>
  <c r="Y470" i="21"/>
  <c r="Y488" i="21"/>
  <c r="Y351" i="21"/>
  <c r="Y359" i="21"/>
  <c r="Y399" i="21"/>
  <c r="Y419" i="21"/>
  <c r="Y442" i="21"/>
  <c r="Y445" i="21"/>
  <c r="Y451" i="21"/>
  <c r="Y484" i="21"/>
  <c r="AA309" i="21"/>
  <c r="AB309" i="21"/>
  <c r="Z501" i="21"/>
  <c r="AA500" i="21"/>
  <c r="X497" i="21"/>
  <c r="Y495" i="21"/>
  <c r="AA487" i="21"/>
  <c r="Z484" i="21"/>
  <c r="X479" i="21"/>
  <c r="Y440" i="21"/>
  <c r="AA413" i="21"/>
  <c r="X382" i="21"/>
  <c r="Y374" i="21"/>
  <c r="Y313" i="21"/>
  <c r="Y498" i="21"/>
  <c r="AA497" i="21"/>
  <c r="X480" i="21"/>
  <c r="Y473" i="21"/>
  <c r="Y434" i="21"/>
  <c r="X397" i="21"/>
  <c r="X339" i="21"/>
  <c r="Z497" i="21"/>
  <c r="AA493" i="21"/>
  <c r="AB493" i="21"/>
  <c r="AA469" i="21"/>
  <c r="Z465" i="21"/>
  <c r="Z445" i="21"/>
  <c r="Z410" i="21"/>
  <c r="X405" i="21"/>
  <c r="Z401" i="21"/>
  <c r="AA375" i="21"/>
  <c r="X327" i="21"/>
  <c r="X303" i="21"/>
  <c r="Y501" i="21"/>
  <c r="Z500" i="21"/>
  <c r="AA499" i="21"/>
  <c r="AA489" i="21"/>
  <c r="X484" i="21"/>
  <c r="Z460" i="21"/>
  <c r="AA451" i="21"/>
  <c r="X448" i="21"/>
  <c r="Z428" i="21"/>
  <c r="AA419" i="21"/>
  <c r="X416" i="21"/>
  <c r="Z399" i="21"/>
  <c r="X395" i="21"/>
  <c r="X391" i="21"/>
  <c r="Z369" i="21"/>
  <c r="Y336" i="21"/>
  <c r="X319" i="21"/>
  <c r="AA2" i="21"/>
  <c r="X496" i="21"/>
  <c r="Z488" i="21"/>
  <c r="AA393" i="21"/>
  <c r="X498" i="21"/>
  <c r="Y485" i="21"/>
  <c r="X2" i="21"/>
  <c r="X501" i="21"/>
  <c r="Y500" i="21"/>
  <c r="Z499" i="21"/>
  <c r="AA494" i="21"/>
  <c r="Y489" i="21"/>
  <c r="Z463" i="21"/>
  <c r="X451" i="21"/>
  <c r="AB451" i="21"/>
  <c r="AA443" i="21"/>
  <c r="Y439" i="21"/>
  <c r="X419" i="21"/>
  <c r="Z412" i="21"/>
  <c r="AA3" i="21"/>
  <c r="AA10" i="21"/>
  <c r="AA18" i="21"/>
  <c r="AA26" i="21"/>
  <c r="AB26" i="21"/>
  <c r="AA34" i="21"/>
  <c r="AA40" i="21"/>
  <c r="AA46" i="21"/>
  <c r="AA54" i="21"/>
  <c r="AA62" i="21"/>
  <c r="AA70" i="21"/>
  <c r="AA78" i="21"/>
  <c r="AA5" i="21"/>
  <c r="AB5" i="21"/>
  <c r="AA13" i="21"/>
  <c r="AA21" i="21"/>
  <c r="AA29" i="21"/>
  <c r="AA37" i="21"/>
  <c r="AA42" i="21"/>
  <c r="AA49" i="21"/>
  <c r="AA57" i="21"/>
  <c r="AA65" i="21"/>
  <c r="AA73" i="21"/>
  <c r="AA81" i="21"/>
  <c r="AA6" i="21"/>
  <c r="AA14" i="21"/>
  <c r="AA22" i="21"/>
  <c r="AB22" i="21"/>
  <c r="AA30" i="21"/>
  <c r="AA43" i="21"/>
  <c r="AA50" i="21"/>
  <c r="AA58" i="21"/>
  <c r="AA66" i="21"/>
  <c r="AA74" i="21"/>
  <c r="AA82" i="21"/>
  <c r="AA8" i="21"/>
  <c r="AA16" i="21"/>
  <c r="AA24" i="21"/>
  <c r="AA32" i="21"/>
  <c r="AA39" i="21"/>
  <c r="AA45" i="21"/>
  <c r="AA52" i="21"/>
  <c r="AA60" i="21"/>
  <c r="AA68" i="21"/>
  <c r="AB68" i="21"/>
  <c r="AA76" i="21"/>
  <c r="AA9" i="21"/>
  <c r="AA17" i="21"/>
  <c r="AA25" i="21"/>
  <c r="AA33" i="21"/>
  <c r="AA53" i="21"/>
  <c r="AA61" i="21"/>
  <c r="AA69" i="21"/>
  <c r="AA77" i="21"/>
  <c r="AA87" i="21"/>
  <c r="AA108" i="21"/>
  <c r="AB108" i="21"/>
  <c r="AA113" i="21"/>
  <c r="AA118" i="21"/>
  <c r="AA123" i="21"/>
  <c r="AA128" i="21"/>
  <c r="AA134" i="21"/>
  <c r="AA88" i="21"/>
  <c r="AA93" i="21"/>
  <c r="AA103" i="21"/>
  <c r="AB103" i="21"/>
  <c r="AA4" i="21"/>
  <c r="AA12" i="21"/>
  <c r="AA20" i="21"/>
  <c r="AA28" i="21"/>
  <c r="AA36" i="21"/>
  <c r="AA38" i="21"/>
  <c r="AA44" i="21"/>
  <c r="AA48" i="21"/>
  <c r="AB48" i="21"/>
  <c r="AA56" i="21"/>
  <c r="AA64" i="21"/>
  <c r="AA72" i="21"/>
  <c r="AA80" i="21"/>
  <c r="AA89" i="21"/>
  <c r="AA98" i="21"/>
  <c r="AA104" i="21"/>
  <c r="AA109" i="21"/>
  <c r="AA114" i="21"/>
  <c r="AA119" i="21"/>
  <c r="AA124" i="21"/>
  <c r="AA84" i="21"/>
  <c r="AB84" i="21"/>
  <c r="AA85" i="21"/>
  <c r="AA94" i="21"/>
  <c r="AA105" i="21"/>
  <c r="AA120" i="21"/>
  <c r="AA7" i="21"/>
  <c r="AA15" i="21"/>
  <c r="AA23" i="21"/>
  <c r="AA31" i="21"/>
  <c r="AA51" i="21"/>
  <c r="AA59" i="21"/>
  <c r="AA67" i="21"/>
  <c r="AA75" i="21"/>
  <c r="AB75" i="21"/>
  <c r="AA83" i="21"/>
  <c r="AA86" i="21"/>
  <c r="AA91" i="21"/>
  <c r="AA96" i="21"/>
  <c r="AA101" i="21"/>
  <c r="AA111" i="21"/>
  <c r="AA117" i="21"/>
  <c r="AA122" i="21"/>
  <c r="AA90" i="21"/>
  <c r="AA99" i="21"/>
  <c r="AA129" i="21"/>
  <c r="AA130" i="21"/>
  <c r="AA141" i="21"/>
  <c r="AA148" i="21"/>
  <c r="AA155" i="21"/>
  <c r="AA163" i="21"/>
  <c r="AB163" i="21"/>
  <c r="AA171" i="21"/>
  <c r="AA41" i="21"/>
  <c r="AA121" i="21"/>
  <c r="AA127" i="21"/>
  <c r="AA131" i="21"/>
  <c r="AA132" i="21"/>
  <c r="AA133" i="21"/>
  <c r="AA135" i="21"/>
  <c r="AA136" i="21"/>
  <c r="AA142" i="21"/>
  <c r="AA149" i="21"/>
  <c r="AA156" i="21"/>
  <c r="AA92" i="21"/>
  <c r="AB92" i="21"/>
  <c r="AA112" i="21"/>
  <c r="AA115" i="21"/>
  <c r="AA125" i="21"/>
  <c r="AA126" i="21"/>
  <c r="AA143" i="21"/>
  <c r="AA150" i="21"/>
  <c r="AA157" i="21"/>
  <c r="AA165" i="21"/>
  <c r="AA173" i="21"/>
  <c r="AA107" i="21"/>
  <c r="AA137" i="21"/>
  <c r="AA144" i="21"/>
  <c r="AA151" i="21"/>
  <c r="AA158" i="21"/>
  <c r="AA166" i="21"/>
  <c r="AA174" i="21"/>
  <c r="AA145" i="21"/>
  <c r="AA152" i="21"/>
  <c r="AA159" i="21"/>
  <c r="AA102" i="21"/>
  <c r="AA153" i="21"/>
  <c r="AB153" i="21"/>
  <c r="AA162" i="21"/>
  <c r="AA167" i="21"/>
  <c r="AA172" i="21"/>
  <c r="AB172" i="21"/>
  <c r="AA178" i="21"/>
  <c r="AA186" i="21"/>
  <c r="AA194" i="21"/>
  <c r="AB194" i="21"/>
  <c r="AA199" i="21"/>
  <c r="AA204" i="21"/>
  <c r="AA211" i="21"/>
  <c r="AA218" i="21"/>
  <c r="AA11" i="21"/>
  <c r="AA27" i="21"/>
  <c r="AA139" i="21"/>
  <c r="AA179" i="21"/>
  <c r="AB179" i="21"/>
  <c r="AA187" i="21"/>
  <c r="AA195" i="21"/>
  <c r="AA205" i="21"/>
  <c r="AA106" i="21"/>
  <c r="AA147" i="21"/>
  <c r="AA161" i="21"/>
  <c r="AA164" i="21"/>
  <c r="AA180" i="21"/>
  <c r="AA188" i="21"/>
  <c r="AA200" i="21"/>
  <c r="AA206" i="21"/>
  <c r="AA213" i="21"/>
  <c r="AA220" i="21"/>
  <c r="AB220" i="21"/>
  <c r="AA110" i="21"/>
  <c r="AA116" i="21"/>
  <c r="AA138" i="21"/>
  <c r="AA160" i="21"/>
  <c r="AA170" i="21"/>
  <c r="AA182" i="21"/>
  <c r="AA190" i="21"/>
  <c r="AA19" i="21"/>
  <c r="AA35" i="21"/>
  <c r="AA97" i="21"/>
  <c r="AA146" i="21"/>
  <c r="AB146" i="21"/>
  <c r="AA154" i="21"/>
  <c r="AA169" i="21"/>
  <c r="AA175" i="21"/>
  <c r="AA183" i="21"/>
  <c r="AA176" i="21"/>
  <c r="AB176" i="21"/>
  <c r="AA184" i="21"/>
  <c r="AA196" i="21"/>
  <c r="AA202" i="21"/>
  <c r="AA212" i="21"/>
  <c r="AA224" i="21"/>
  <c r="AA230" i="21"/>
  <c r="AA47" i="21"/>
  <c r="AA193" i="21"/>
  <c r="AA197" i="21"/>
  <c r="AA201" i="21"/>
  <c r="AA219" i="21"/>
  <c r="AA225" i="21"/>
  <c r="AA231" i="21"/>
  <c r="AA237" i="21"/>
  <c r="AA246" i="21"/>
  <c r="AA256" i="21"/>
  <c r="AB256" i="21"/>
  <c r="AA140" i="21"/>
  <c r="AA226" i="21"/>
  <c r="AA243" i="21"/>
  <c r="AB243" i="21"/>
  <c r="AA247" i="21"/>
  <c r="AA252" i="21"/>
  <c r="AA261" i="21"/>
  <c r="AA267" i="21"/>
  <c r="AA55" i="21"/>
  <c r="AA181" i="21"/>
  <c r="AA189" i="21"/>
  <c r="AA210" i="21"/>
  <c r="AA227" i="21"/>
  <c r="AA232" i="21"/>
  <c r="AA238" i="21"/>
  <c r="AA248" i="21"/>
  <c r="AA257" i="21"/>
  <c r="AA71" i="21"/>
  <c r="AA95" i="21"/>
  <c r="AA100" i="21"/>
  <c r="AB100" i="21"/>
  <c r="AA191" i="21"/>
  <c r="AA207" i="21"/>
  <c r="AA221" i="21"/>
  <c r="AA222" i="21"/>
  <c r="AA223" i="21"/>
  <c r="AA229" i="21"/>
  <c r="AA235" i="21"/>
  <c r="AA245" i="21"/>
  <c r="AA250" i="21"/>
  <c r="AA259" i="21"/>
  <c r="AA264" i="21"/>
  <c r="AA208" i="21"/>
  <c r="AB208" i="21"/>
  <c r="AA258" i="21"/>
  <c r="AA288" i="21"/>
  <c r="AA302" i="21"/>
  <c r="AA307" i="21"/>
  <c r="AB307" i="21"/>
  <c r="AA185" i="21"/>
  <c r="AA240" i="21"/>
  <c r="AA263" i="21"/>
  <c r="AB263" i="21"/>
  <c r="AA277" i="21"/>
  <c r="AA283" i="21"/>
  <c r="AA289" i="21"/>
  <c r="AA293" i="21"/>
  <c r="AA297" i="21"/>
  <c r="AA192" i="21"/>
  <c r="AA214" i="21"/>
  <c r="AA216" i="21"/>
  <c r="AA249" i="21"/>
  <c r="AA262" i="21"/>
  <c r="AA272" i="21"/>
  <c r="AA273" i="21"/>
  <c r="AA284" i="21"/>
  <c r="AA290" i="21"/>
  <c r="AA298" i="21"/>
  <c r="AA303" i="21"/>
  <c r="AA63" i="21"/>
  <c r="AA168" i="21"/>
  <c r="AA203" i="21"/>
  <c r="AA209" i="21"/>
  <c r="AA239" i="21"/>
  <c r="AA255" i="21"/>
  <c r="AA79" i="21"/>
  <c r="AA198" i="21"/>
  <c r="AA228" i="21"/>
  <c r="AB228" i="21"/>
  <c r="AA234" i="21"/>
  <c r="AB234" i="21"/>
  <c r="AA242" i="21"/>
  <c r="AA260" i="21"/>
  <c r="AA270" i="21"/>
  <c r="AB270" i="21"/>
  <c r="AA279" i="21"/>
  <c r="AA285" i="21"/>
  <c r="AA291" i="21"/>
  <c r="AA294" i="21"/>
  <c r="AA299" i="21"/>
  <c r="AA177" i="21"/>
  <c r="AA217" i="21"/>
  <c r="AA236" i="21"/>
  <c r="AB236" i="21"/>
  <c r="AA251" i="21"/>
  <c r="AA268" i="21"/>
  <c r="AA269" i="21"/>
  <c r="AA275" i="21"/>
  <c r="AA280" i="21"/>
  <c r="AB280" i="21"/>
  <c r="AA300" i="21"/>
  <c r="AA305" i="21"/>
  <c r="AA253" i="21"/>
  <c r="AB253" i="21"/>
  <c r="AA292" i="21"/>
  <c r="AA322" i="21"/>
  <c r="AA329" i="21"/>
  <c r="AB329" i="21"/>
  <c r="AA336" i="21"/>
  <c r="AA340" i="21"/>
  <c r="AA345" i="21"/>
  <c r="AA353" i="21"/>
  <c r="AA361" i="21"/>
  <c r="AB361" i="21"/>
  <c r="AA254" i="21"/>
  <c r="AA265" i="21"/>
  <c r="AA281" i="21"/>
  <c r="AA296" i="21"/>
  <c r="AA304" i="21"/>
  <c r="AA310" i="21"/>
  <c r="AA318" i="21"/>
  <c r="AA323" i="21"/>
  <c r="AB323" i="21"/>
  <c r="AA331" i="21"/>
  <c r="AA347" i="21"/>
  <c r="AA355" i="21"/>
  <c r="AB355" i="21"/>
  <c r="AA362" i="21"/>
  <c r="AA266" i="21"/>
  <c r="AA274" i="21"/>
  <c r="AA314" i="21"/>
  <c r="AA319" i="21"/>
  <c r="AB319" i="21"/>
  <c r="AA325" i="21"/>
  <c r="AA333" i="21"/>
  <c r="AA349" i="21"/>
  <c r="AA276" i="21"/>
  <c r="AA278" i="21"/>
  <c r="AA320" i="21"/>
  <c r="AA326" i="21"/>
  <c r="AA334" i="21"/>
  <c r="AB334" i="21"/>
  <c r="AA338" i="21"/>
  <c r="AA342" i="21"/>
  <c r="AA350" i="21"/>
  <c r="AA358" i="21"/>
  <c r="AB358" i="21"/>
  <c r="AA365" i="21"/>
  <c r="AA313" i="21"/>
  <c r="AA316" i="21"/>
  <c r="AA327" i="21"/>
  <c r="AA330" i="21"/>
  <c r="AA335" i="21"/>
  <c r="AA354" i="21"/>
  <c r="AA366" i="21"/>
  <c r="AA369" i="21"/>
  <c r="AA376" i="21"/>
  <c r="AA383" i="21"/>
  <c r="AA390" i="21"/>
  <c r="AB390" i="21"/>
  <c r="AA395" i="21"/>
  <c r="AA401" i="21"/>
  <c r="AA415" i="21"/>
  <c r="AA420" i="21"/>
  <c r="AA425" i="21"/>
  <c r="AA441" i="21"/>
  <c r="AA446" i="21"/>
  <c r="AA452" i="21"/>
  <c r="AB452" i="21"/>
  <c r="AA457" i="21"/>
  <c r="AA463" i="21"/>
  <c r="AA471" i="21"/>
  <c r="AA474" i="21"/>
  <c r="AA479" i="21"/>
  <c r="AA282" i="21"/>
  <c r="AA324" i="21"/>
  <c r="AA332" i="21"/>
  <c r="AA344" i="21"/>
  <c r="AA377" i="21"/>
  <c r="AA384" i="21"/>
  <c r="AA396" i="21"/>
  <c r="AA402" i="21"/>
  <c r="AA406" i="21"/>
  <c r="AA244" i="21"/>
  <c r="AA295" i="21"/>
  <c r="AA321" i="21"/>
  <c r="AA341" i="21"/>
  <c r="AA357" i="21"/>
  <c r="AA370" i="21"/>
  <c r="AA385" i="21"/>
  <c r="AA391" i="21"/>
  <c r="AA397" i="21"/>
  <c r="AA412" i="21"/>
  <c r="AB412" i="21"/>
  <c r="AA416" i="21"/>
  <c r="AA421" i="21"/>
  <c r="AA431" i="21"/>
  <c r="AA436" i="21"/>
  <c r="AA448" i="21"/>
  <c r="AB448" i="21"/>
  <c r="AA453" i="21"/>
  <c r="AA465" i="21"/>
  <c r="AA475" i="21"/>
  <c r="AB475" i="21"/>
  <c r="AA233" i="21"/>
  <c r="AA271" i="21"/>
  <c r="AA301" i="21"/>
  <c r="AA312" i="21"/>
  <c r="AA315" i="21"/>
  <c r="AA356" i="21"/>
  <c r="AA371" i="21"/>
  <c r="AA378" i="21"/>
  <c r="AA392" i="21"/>
  <c r="AA407" i="21"/>
  <c r="AA417" i="21"/>
  <c r="AA437" i="21"/>
  <c r="AA449" i="21"/>
  <c r="AA472" i="21"/>
  <c r="AA476" i="21"/>
  <c r="AA215" i="21"/>
  <c r="AB215" i="21"/>
  <c r="AA286" i="21"/>
  <c r="AA308" i="21"/>
  <c r="AA337" i="21"/>
  <c r="AA343" i="21"/>
  <c r="AA346" i="21"/>
  <c r="AA352" i="21"/>
  <c r="AA360" i="21"/>
  <c r="AA364" i="21"/>
  <c r="AB364" i="21"/>
  <c r="AA241" i="21"/>
  <c r="AB241" i="21"/>
  <c r="AA287" i="21"/>
  <c r="AA311" i="21"/>
  <c r="AA317" i="21"/>
  <c r="AA339" i="21"/>
  <c r="AA351" i="21"/>
  <c r="AA359" i="21"/>
  <c r="AA374" i="21"/>
  <c r="AB374" i="21"/>
  <c r="AA381" i="21"/>
  <c r="AA388" i="21"/>
  <c r="AA399" i="21"/>
  <c r="AA410" i="21"/>
  <c r="AA414" i="21"/>
  <c r="AA434" i="21"/>
  <c r="AA439" i="21"/>
  <c r="AA445" i="21"/>
  <c r="AB445" i="21"/>
  <c r="AA461" i="21"/>
  <c r="AA467" i="21"/>
  <c r="AA470" i="21"/>
  <c r="AA473" i="21"/>
  <c r="AA478" i="21"/>
  <c r="AA348" i="21"/>
  <c r="AA380" i="21"/>
  <c r="AA386" i="21"/>
  <c r="AB386" i="21"/>
  <c r="AA418" i="21"/>
  <c r="AA450" i="21"/>
  <c r="AA484" i="21"/>
  <c r="AA382" i="21"/>
  <c r="AA405" i="21"/>
  <c r="AA409" i="21"/>
  <c r="AA427" i="21"/>
  <c r="AA430" i="21"/>
  <c r="AA433" i="21"/>
  <c r="AA447" i="21"/>
  <c r="AA459" i="21"/>
  <c r="AA462" i="21"/>
  <c r="AA468" i="21"/>
  <c r="AA485" i="21"/>
  <c r="AA490" i="21"/>
  <c r="AA495" i="21"/>
  <c r="AA306" i="21"/>
  <c r="AA368" i="21"/>
  <c r="AA394" i="21"/>
  <c r="AA398" i="21"/>
  <c r="AA411" i="21"/>
  <c r="AA424" i="21"/>
  <c r="AA444" i="21"/>
  <c r="AA456" i="21"/>
  <c r="AA464" i="21"/>
  <c r="AA480" i="21"/>
  <c r="AA496" i="21"/>
  <c r="AA379" i="21"/>
  <c r="AA426" i="21"/>
  <c r="AA438" i="21"/>
  <c r="AA458" i="21"/>
  <c r="AA477" i="21"/>
  <c r="AB477" i="21"/>
  <c r="AA481" i="21"/>
  <c r="AA486" i="21"/>
  <c r="AA491" i="21"/>
  <c r="AA373" i="21"/>
  <c r="AA400" i="21"/>
  <c r="AA404" i="21"/>
  <c r="AA408" i="21"/>
  <c r="AA423" i="21"/>
  <c r="AB423" i="21"/>
  <c r="AA429" i="21"/>
  <c r="AA432" i="21"/>
  <c r="AA435" i="21"/>
  <c r="AA455" i="21"/>
  <c r="AA492" i="21"/>
  <c r="AA363" i="21"/>
  <c r="AA389" i="21"/>
  <c r="AA428" i="21"/>
  <c r="AB428" i="21"/>
  <c r="AA440" i="21"/>
  <c r="AA460" i="21"/>
  <c r="AA488" i="21"/>
  <c r="Y2" i="21"/>
  <c r="AB2" i="21"/>
  <c r="X500" i="21"/>
  <c r="AB500" i="21"/>
  <c r="Y499" i="21"/>
  <c r="AA498" i="21"/>
  <c r="Y494" i="21"/>
  <c r="AB494" i="21"/>
  <c r="AA483" i="21"/>
  <c r="X431" i="21"/>
  <c r="X415" i="21"/>
  <c r="X335" i="21"/>
  <c r="Z299" i="21"/>
  <c r="AB299" i="21"/>
  <c r="Z2" i="21"/>
  <c r="X499" i="21"/>
  <c r="Z498" i="21"/>
  <c r="AB498" i="21"/>
  <c r="Y496" i="21"/>
  <c r="Y483" i="21"/>
  <c r="Z470" i="21"/>
  <c r="AB470" i="21"/>
  <c r="AA466" i="21"/>
  <c r="X462" i="21"/>
  <c r="AB462" i="21"/>
  <c r="AA454" i="21"/>
  <c r="X450" i="21"/>
  <c r="AA442" i="21"/>
  <c r="AB442" i="21"/>
  <c r="AA422" i="21"/>
  <c r="X418" i="21"/>
  <c r="Y389" i="21"/>
  <c r="Y384" i="21"/>
  <c r="Z380" i="21"/>
  <c r="X376" i="21"/>
  <c r="AA372" i="21"/>
  <c r="AA367" i="21"/>
  <c r="AB367" i="21"/>
  <c r="AA328" i="21"/>
  <c r="E4" i="26"/>
  <c r="E8" i="26"/>
  <c r="E6" i="26"/>
  <c r="E5" i="26"/>
  <c r="AD76" i="21"/>
  <c r="AB379" i="21"/>
  <c r="AB232" i="21"/>
  <c r="AB288" i="21"/>
  <c r="AB161" i="21"/>
  <c r="AB213" i="21"/>
  <c r="AB375" i="21"/>
  <c r="AB127" i="21"/>
  <c r="AB178" i="21"/>
  <c r="AB143" i="21"/>
  <c r="AB43" i="21"/>
  <c r="AB152" i="21"/>
  <c r="AB67" i="21"/>
  <c r="AB80" i="21"/>
  <c r="AB160" i="21"/>
  <c r="AB186" i="21"/>
  <c r="AB124" i="21"/>
  <c r="AB74" i="21"/>
  <c r="AB140" i="21"/>
  <c r="AB134" i="21"/>
  <c r="AB29" i="21"/>
  <c r="AB207" i="21"/>
  <c r="AB156" i="21"/>
  <c r="AB116" i="21"/>
  <c r="AB175" i="21"/>
  <c r="AB31" i="21"/>
  <c r="AB204" i="21"/>
  <c r="AB225" i="21"/>
  <c r="AB64" i="21"/>
  <c r="AB209" i="21"/>
  <c r="AB148" i="21"/>
  <c r="AB419" i="21"/>
  <c r="AB489" i="21"/>
  <c r="AB424" i="21"/>
  <c r="AB368" i="21"/>
  <c r="AB371" i="21"/>
  <c r="AB277" i="21"/>
  <c r="AB235" i="21"/>
  <c r="AB218" i="21"/>
  <c r="AB177" i="21"/>
  <c r="AB104" i="21"/>
  <c r="AB139" i="21"/>
  <c r="AB107" i="21"/>
  <c r="AB118" i="21"/>
  <c r="AB111" i="21"/>
  <c r="AB95" i="21"/>
  <c r="AB79" i="21"/>
  <c r="AB501" i="21"/>
  <c r="AB281" i="21"/>
  <c r="AB216" i="21"/>
  <c r="AB129" i="21"/>
  <c r="AB151" i="21"/>
  <c r="AB455" i="21"/>
  <c r="AB59" i="21"/>
  <c r="AB82" i="21"/>
  <c r="AB185" i="21"/>
  <c r="AB499" i="21"/>
  <c r="AB28" i="21"/>
  <c r="AB35" i="21"/>
  <c r="AB38" i="21"/>
  <c r="AB476" i="21"/>
  <c r="AB464" i="21"/>
  <c r="AB188" i="21"/>
  <c r="AB409" i="21"/>
  <c r="AB408" i="21"/>
  <c r="AB360" i="21"/>
  <c r="AB366" i="21"/>
  <c r="AB313" i="21"/>
  <c r="AB305" i="21"/>
  <c r="AB265" i="21"/>
  <c r="AB169" i="21"/>
  <c r="AB180" i="21"/>
  <c r="AB195" i="21"/>
  <c r="AB117" i="21"/>
  <c r="AB16" i="21"/>
  <c r="AB18" i="21"/>
  <c r="AB422" i="21"/>
  <c r="AB384" i="21"/>
  <c r="AB461" i="21"/>
  <c r="AB387" i="21"/>
  <c r="AB308" i="21"/>
  <c r="AB174" i="21"/>
  <c r="AB224" i="21"/>
  <c r="AB260" i="21"/>
  <c r="AB285" i="21"/>
  <c r="AB83" i="21"/>
  <c r="AB119" i="21"/>
  <c r="AB164" i="21"/>
  <c r="AB114" i="21"/>
  <c r="AB158" i="21"/>
  <c r="AB96" i="21"/>
  <c r="AB30" i="21"/>
  <c r="AB63" i="21"/>
  <c r="AB77" i="21"/>
  <c r="AB14" i="21"/>
  <c r="AB230" i="21"/>
  <c r="AB24" i="21"/>
  <c r="AB212" i="21"/>
  <c r="AB418" i="21"/>
  <c r="AB294" i="21"/>
  <c r="AB233" i="21"/>
  <c r="AB170" i="21"/>
  <c r="AB39" i="21"/>
  <c r="AB133" i="21"/>
  <c r="AB226" i="21"/>
  <c r="AB381" i="21"/>
  <c r="AB372" i="21"/>
  <c r="AB320" i="21"/>
  <c r="AB197" i="21"/>
  <c r="AD52" i="21"/>
  <c r="AD60" i="21"/>
  <c r="AD84" i="21"/>
  <c r="AD55" i="21"/>
  <c r="AD63" i="21"/>
  <c r="AD12" i="21"/>
  <c r="AD72" i="21"/>
  <c r="AD6" i="21"/>
  <c r="AD22" i="21"/>
  <c r="AD7" i="21"/>
  <c r="AD15" i="21"/>
  <c r="AD44" i="21"/>
  <c r="AD101" i="21"/>
  <c r="AD106" i="21"/>
  <c r="AD126" i="21"/>
  <c r="AD102" i="21"/>
  <c r="AD10" i="21"/>
  <c r="AD34" i="21"/>
  <c r="AD88" i="21"/>
  <c r="AD103" i="21"/>
  <c r="AD123" i="21"/>
  <c r="AD77" i="21"/>
  <c r="AD85" i="21"/>
  <c r="AD115" i="21"/>
  <c r="AD154" i="21"/>
  <c r="AD169" i="21"/>
  <c r="AD122" i="21"/>
  <c r="AD37" i="21"/>
  <c r="AD49" i="21"/>
  <c r="AD81" i="21"/>
  <c r="AD163" i="21"/>
  <c r="AD171" i="21"/>
  <c r="AD132" i="21"/>
  <c r="AD164" i="21"/>
  <c r="AD124" i="21"/>
  <c r="AD150" i="21"/>
  <c r="AD184" i="21"/>
  <c r="AD192" i="21"/>
  <c r="AD209" i="21"/>
  <c r="AD193" i="21"/>
  <c r="AD203" i="21"/>
  <c r="AD167" i="21"/>
  <c r="AD218" i="21"/>
  <c r="AD144" i="21"/>
  <c r="AD180" i="21"/>
  <c r="AD166" i="21"/>
  <c r="AD182" i="21"/>
  <c r="AD207" i="21"/>
  <c r="AD220" i="21"/>
  <c r="AD236" i="21"/>
  <c r="AD254" i="21"/>
  <c r="AD251" i="21"/>
  <c r="AD98" i="21"/>
  <c r="AD196" i="21"/>
  <c r="AD260" i="21"/>
  <c r="AD114" i="21"/>
  <c r="AD268" i="21"/>
  <c r="AD281" i="21"/>
  <c r="AD286" i="21"/>
  <c r="AD311" i="21"/>
  <c r="AD306" i="21"/>
  <c r="AD240" i="21"/>
  <c r="AD263" i="21"/>
  <c r="AD179" i="21"/>
  <c r="AD189" i="21"/>
  <c r="AD173" i="21"/>
  <c r="AD308" i="21"/>
  <c r="AD183" i="21"/>
  <c r="AD257" i="21"/>
  <c r="AD270" i="21"/>
  <c r="AD315" i="21"/>
  <c r="AD327" i="21"/>
  <c r="AD279" i="21"/>
  <c r="AD316" i="21"/>
  <c r="AD361" i="21"/>
  <c r="AD331" i="21"/>
  <c r="AD347" i="21"/>
  <c r="AD313" i="21"/>
  <c r="AD363" i="21"/>
  <c r="AD294" i="21"/>
  <c r="AD342" i="21"/>
  <c r="AD319" i="21"/>
  <c r="AD322" i="21"/>
  <c r="AD354" i="21"/>
  <c r="AD400" i="21"/>
  <c r="AD410" i="21"/>
  <c r="AD344" i="21"/>
  <c r="AD405" i="21"/>
  <c r="AD420" i="21"/>
  <c r="AD429" i="21"/>
  <c r="AD349" i="21"/>
  <c r="AD357" i="21"/>
  <c r="AD390" i="21"/>
  <c r="AD474" i="21"/>
  <c r="AD138" i="21"/>
  <c r="AD334" i="21"/>
  <c r="AD386" i="21"/>
  <c r="AD408" i="21"/>
  <c r="AD427" i="21"/>
  <c r="AD412" i="21"/>
  <c r="AD419" i="21"/>
  <c r="AD451" i="21"/>
  <c r="AD352" i="21"/>
  <c r="AD364" i="21"/>
  <c r="AD445" i="21"/>
  <c r="AD409" i="21"/>
  <c r="AD433" i="21"/>
  <c r="AD450" i="21"/>
  <c r="AD402" i="21"/>
  <c r="AD421" i="21"/>
  <c r="AD456" i="21"/>
  <c r="AD398" i="21"/>
  <c r="AD417" i="21"/>
  <c r="AD449" i="21"/>
  <c r="AD387" i="21"/>
  <c r="AD481" i="21"/>
  <c r="AD492" i="21"/>
  <c r="AD470" i="21"/>
  <c r="AD496" i="21"/>
  <c r="AD431" i="21"/>
  <c r="AD501" i="21"/>
  <c r="AD217" i="21"/>
  <c r="AD404" i="21"/>
  <c r="AD440" i="21"/>
  <c r="AD487" i="21"/>
  <c r="AD2" i="21"/>
  <c r="AB99" i="21"/>
  <c r="AE23" i="21"/>
  <c r="AE31" i="21"/>
  <c r="AE38" i="21"/>
  <c r="AE44" i="21"/>
  <c r="AE51" i="21"/>
  <c r="AE59" i="21"/>
  <c r="AE75" i="21"/>
  <c r="AE10" i="21"/>
  <c r="AE18" i="21"/>
  <c r="AE26" i="21"/>
  <c r="AE34" i="21"/>
  <c r="AE40" i="21"/>
  <c r="AE54" i="21"/>
  <c r="AE62" i="21"/>
  <c r="AE78" i="21"/>
  <c r="AE3" i="21"/>
  <c r="AE11" i="21"/>
  <c r="AE19" i="21"/>
  <c r="AE35" i="21"/>
  <c r="AE41" i="21"/>
  <c r="AE47" i="21"/>
  <c r="AE63" i="21"/>
  <c r="AE71" i="21"/>
  <c r="AE79" i="21"/>
  <c r="AE13" i="21"/>
  <c r="AE21" i="21"/>
  <c r="AE29" i="21"/>
  <c r="AE37" i="21"/>
  <c r="AE49" i="21"/>
  <c r="AE57" i="21"/>
  <c r="AE73" i="21"/>
  <c r="AE81" i="21"/>
  <c r="AE6" i="21"/>
  <c r="AE14" i="21"/>
  <c r="AE22" i="21"/>
  <c r="AE43" i="21"/>
  <c r="AE58" i="21"/>
  <c r="AE66" i="21"/>
  <c r="AE74" i="21"/>
  <c r="AE82" i="21"/>
  <c r="AE90" i="21"/>
  <c r="AE95" i="21"/>
  <c r="AE116" i="21"/>
  <c r="AE132" i="21"/>
  <c r="AE91" i="21"/>
  <c r="AE96" i="21"/>
  <c r="AE101" i="21"/>
  <c r="AE106" i="21"/>
  <c r="AE8" i="21"/>
  <c r="AE32" i="21"/>
  <c r="AE52" i="21"/>
  <c r="AE60" i="21"/>
  <c r="AE68" i="21"/>
  <c r="AE76" i="21"/>
  <c r="AE86" i="21"/>
  <c r="AE107" i="21"/>
  <c r="AE122" i="21"/>
  <c r="AE127" i="21"/>
  <c r="AE4" i="21"/>
  <c r="AE12" i="21"/>
  <c r="AE20" i="21"/>
  <c r="AE36" i="21"/>
  <c r="AE48" i="21"/>
  <c r="AE64" i="21"/>
  <c r="AE72" i="21"/>
  <c r="AE80" i="21"/>
  <c r="AE87" i="21"/>
  <c r="AE102" i="21"/>
  <c r="AE108" i="21"/>
  <c r="AE39" i="21"/>
  <c r="AE89" i="21"/>
  <c r="AE98" i="21"/>
  <c r="AE109" i="21"/>
  <c r="AE120" i="21"/>
  <c r="AE88" i="21"/>
  <c r="AE113" i="21"/>
  <c r="AE138" i="21"/>
  <c r="AE160" i="21"/>
  <c r="AE168" i="21"/>
  <c r="AE119" i="21"/>
  <c r="AE139" i="21"/>
  <c r="AE146" i="21"/>
  <c r="AE154" i="21"/>
  <c r="AE9" i="21"/>
  <c r="AE17" i="21"/>
  <c r="AE25" i="21"/>
  <c r="AE53" i="21"/>
  <c r="AE61" i="21"/>
  <c r="AE69" i="21"/>
  <c r="AE77" i="21"/>
  <c r="AE99" i="21"/>
  <c r="AE103" i="21"/>
  <c r="AE128" i="21"/>
  <c r="AE147" i="21"/>
  <c r="AE162" i="21"/>
  <c r="AE170" i="21"/>
  <c r="AE94" i="21"/>
  <c r="AE105" i="21"/>
  <c r="AE118" i="21"/>
  <c r="AE121" i="21"/>
  <c r="AE130" i="21"/>
  <c r="AE133" i="21"/>
  <c r="AE141" i="21"/>
  <c r="AE148" i="21"/>
  <c r="AE155" i="21"/>
  <c r="AE163" i="21"/>
  <c r="AE171" i="21"/>
  <c r="AE125" i="21"/>
  <c r="AE126" i="21"/>
  <c r="AE131" i="21"/>
  <c r="AE134" i="21"/>
  <c r="AE135" i="21"/>
  <c r="AE136" i="21"/>
  <c r="AE142" i="21"/>
  <c r="AE156" i="21"/>
  <c r="AE164" i="21"/>
  <c r="AE124" i="21"/>
  <c r="AE173" i="21"/>
  <c r="AE175" i="21"/>
  <c r="AE183" i="21"/>
  <c r="AE191" i="21"/>
  <c r="AE215" i="21"/>
  <c r="AE222" i="21"/>
  <c r="AE85" i="21"/>
  <c r="AE137" i="21"/>
  <c r="AE143" i="21"/>
  <c r="AE151" i="21"/>
  <c r="AE157" i="21"/>
  <c r="AE176" i="21"/>
  <c r="AE184" i="21"/>
  <c r="AE192" i="21"/>
  <c r="AE197" i="21"/>
  <c r="AE202" i="21"/>
  <c r="AE145" i="21"/>
  <c r="AE159" i="21"/>
  <c r="AE185" i="21"/>
  <c r="AE193" i="21"/>
  <c r="AE198" i="21"/>
  <c r="AE203" i="21"/>
  <c r="AE210" i="21"/>
  <c r="AE217" i="21"/>
  <c r="AE161" i="21"/>
  <c r="AE179" i="21"/>
  <c r="AE187" i="21"/>
  <c r="AE123" i="21"/>
  <c r="AE144" i="21"/>
  <c r="AE150" i="21"/>
  <c r="AE158" i="21"/>
  <c r="AE180" i="21"/>
  <c r="AE111" i="21"/>
  <c r="AE214" i="21"/>
  <c r="AE228" i="21"/>
  <c r="AE234" i="21"/>
  <c r="AE174" i="21"/>
  <c r="AE178" i="21"/>
  <c r="AE182" i="21"/>
  <c r="AE206" i="21"/>
  <c r="AE207" i="21"/>
  <c r="AE213" i="21"/>
  <c r="AE221" i="21"/>
  <c r="AE223" i="21"/>
  <c r="AE229" i="21"/>
  <c r="AE235" i="21"/>
  <c r="AE93" i="21"/>
  <c r="AE169" i="21"/>
  <c r="AE212" i="21"/>
  <c r="AE220" i="21"/>
  <c r="AE236" i="21"/>
  <c r="AE241" i="21"/>
  <c r="AE245" i="21"/>
  <c r="AE254" i="21"/>
  <c r="AE265" i="21"/>
  <c r="AE270" i="21"/>
  <c r="AE167" i="21"/>
  <c r="AE190" i="21"/>
  <c r="AE205" i="21"/>
  <c r="AE211" i="21"/>
  <c r="AE224" i="21"/>
  <c r="AE230" i="21"/>
  <c r="AE251" i="21"/>
  <c r="AE255" i="21"/>
  <c r="AE165" i="21"/>
  <c r="AE209" i="21"/>
  <c r="AE227" i="21"/>
  <c r="AE238" i="21"/>
  <c r="AE248" i="21"/>
  <c r="AE252" i="21"/>
  <c r="AE257" i="21"/>
  <c r="AE261" i="21"/>
  <c r="AE218" i="21"/>
  <c r="AE225" i="21"/>
  <c r="AE256" i="21"/>
  <c r="AE268" i="21"/>
  <c r="AE269" i="21"/>
  <c r="AE275" i="21"/>
  <c r="AE280" i="21"/>
  <c r="AE285" i="21"/>
  <c r="AE291" i="21"/>
  <c r="AE305" i="21"/>
  <c r="AE310" i="21"/>
  <c r="AE104" i="21"/>
  <c r="AE194" i="21"/>
  <c r="AE233" i="21"/>
  <c r="AE244" i="21"/>
  <c r="AE247" i="21"/>
  <c r="AE267" i="21"/>
  <c r="AE281" i="21"/>
  <c r="AE286" i="21"/>
  <c r="AE295" i="21"/>
  <c r="AE300" i="21"/>
  <c r="AE117" i="21"/>
  <c r="AE253" i="21"/>
  <c r="AE301" i="21"/>
  <c r="AE306" i="21"/>
  <c r="AE195" i="21"/>
  <c r="AE200" i="21"/>
  <c r="AE216" i="21"/>
  <c r="AE237" i="21"/>
  <c r="AE240" i="21"/>
  <c r="AE246" i="21"/>
  <c r="AE258" i="21"/>
  <c r="AE263" i="21"/>
  <c r="AE264" i="21"/>
  <c r="AE189" i="21"/>
  <c r="AE249" i="21"/>
  <c r="AE262" i="21"/>
  <c r="AE283" i="21"/>
  <c r="AE289" i="21"/>
  <c r="AE297" i="21"/>
  <c r="AE302" i="21"/>
  <c r="AE201" i="21"/>
  <c r="AE226" i="21"/>
  <c r="AE239" i="21"/>
  <c r="AE260" i="21"/>
  <c r="AE271" i="21"/>
  <c r="AE273" i="21"/>
  <c r="AE277" i="21"/>
  <c r="AE293" i="21"/>
  <c r="AE303" i="21"/>
  <c r="AE308" i="21"/>
  <c r="AE290" i="21"/>
  <c r="AE299" i="21"/>
  <c r="AE314" i="21"/>
  <c r="AE326" i="21"/>
  <c r="AE334" i="21"/>
  <c r="AE338" i="21"/>
  <c r="AE342" i="21"/>
  <c r="AE358" i="21"/>
  <c r="AE365" i="21"/>
  <c r="AE181" i="21"/>
  <c r="AE292" i="21"/>
  <c r="AE204" i="21"/>
  <c r="AE307" i="21"/>
  <c r="AE321" i="21"/>
  <c r="AE335" i="21"/>
  <c r="AE344" i="21"/>
  <c r="AE352" i="21"/>
  <c r="AE360" i="21"/>
  <c r="AE367" i="21"/>
  <c r="AE304" i="21"/>
  <c r="AE309" i="21"/>
  <c r="AE322" i="21"/>
  <c r="AE330" i="21"/>
  <c r="AE336" i="21"/>
  <c r="AE340" i="21"/>
  <c r="AE346" i="21"/>
  <c r="AE312" i="21"/>
  <c r="AE323" i="21"/>
  <c r="AE347" i="21"/>
  <c r="AE355" i="21"/>
  <c r="AE362" i="21"/>
  <c r="AE274" i="21"/>
  <c r="AE325" i="21"/>
  <c r="AE333" i="21"/>
  <c r="AE339" i="21"/>
  <c r="AE351" i="21"/>
  <c r="AE359" i="21"/>
  <c r="AE373" i="21"/>
  <c r="AE380" i="21"/>
  <c r="AE387" i="21"/>
  <c r="AE398" i="21"/>
  <c r="AE404" i="21"/>
  <c r="AE413" i="21"/>
  <c r="AE418" i="21"/>
  <c r="AE423" i="21"/>
  <c r="AE428" i="21"/>
  <c r="AE433" i="21"/>
  <c r="AE438" i="21"/>
  <c r="AE444" i="21"/>
  <c r="AE455" i="21"/>
  <c r="AE460" i="21"/>
  <c r="AE466" i="21"/>
  <c r="AE469" i="21"/>
  <c r="AE477" i="21"/>
  <c r="AE313" i="21"/>
  <c r="AE374" i="21"/>
  <c r="AE388" i="21"/>
  <c r="AE394" i="21"/>
  <c r="AE399" i="21"/>
  <c r="AE279" i="21"/>
  <c r="AE282" i="21"/>
  <c r="AE316" i="21"/>
  <c r="AE319" i="21"/>
  <c r="AE327" i="21"/>
  <c r="AE332" i="21"/>
  <c r="AE354" i="21"/>
  <c r="AE368" i="21"/>
  <c r="AE375" i="21"/>
  <c r="AE382" i="21"/>
  <c r="AE389" i="21"/>
  <c r="AE410" i="21"/>
  <c r="AE414" i="21"/>
  <c r="AE419" i="21"/>
  <c r="AE424" i="21"/>
  <c r="AE434" i="21"/>
  <c r="AE440" i="21"/>
  <c r="AE445" i="21"/>
  <c r="AE456" i="21"/>
  <c r="AE462" i="21"/>
  <c r="AE467" i="21"/>
  <c r="AE470" i="21"/>
  <c r="AE473" i="21"/>
  <c r="AE478" i="21"/>
  <c r="AE152" i="21"/>
  <c r="AE276" i="21"/>
  <c r="AE298" i="21"/>
  <c r="AE353" i="21"/>
  <c r="AE361" i="21"/>
  <c r="AE366" i="21"/>
  <c r="AE369" i="21"/>
  <c r="AE376" i="21"/>
  <c r="AE395" i="21"/>
  <c r="AE401" i="21"/>
  <c r="AE405" i="21"/>
  <c r="AE415" i="21"/>
  <c r="AE420" i="21"/>
  <c r="AE425" i="21"/>
  <c r="AE429" i="21"/>
  <c r="AE446" i="21"/>
  <c r="AE452" i="21"/>
  <c r="AE457" i="21"/>
  <c r="AE463" i="21"/>
  <c r="AE318" i="21"/>
  <c r="AE329" i="21"/>
  <c r="AE341" i="21"/>
  <c r="AE357" i="21"/>
  <c r="AE343" i="21"/>
  <c r="AE348" i="21"/>
  <c r="AE364" i="21"/>
  <c r="AE371" i="21"/>
  <c r="AE378" i="21"/>
  <c r="AE392" i="21"/>
  <c r="AE407" i="21"/>
  <c r="AE417" i="21"/>
  <c r="AE421" i="21"/>
  <c r="AE449" i="21"/>
  <c r="AE453" i="21"/>
  <c r="AE465" i="21"/>
  <c r="AE476" i="21"/>
  <c r="AE384" i="21"/>
  <c r="AE416" i="21"/>
  <c r="AE431" i="21"/>
  <c r="AE437" i="21"/>
  <c r="AE448" i="21"/>
  <c r="AE487" i="21"/>
  <c r="AE199" i="21"/>
  <c r="AE370" i="21"/>
  <c r="AE372" i="21"/>
  <c r="AE403" i="21"/>
  <c r="AE412" i="21"/>
  <c r="AE422" i="21"/>
  <c r="AE442" i="21"/>
  <c r="AE454" i="21"/>
  <c r="AE488" i="21"/>
  <c r="AE493" i="21"/>
  <c r="AE278" i="21"/>
  <c r="AE296" i="21"/>
  <c r="AE337" i="21"/>
  <c r="AE386" i="21"/>
  <c r="AE390" i="21"/>
  <c r="AE430" i="21"/>
  <c r="AE439" i="21"/>
  <c r="AE447" i="21"/>
  <c r="AE472" i="21"/>
  <c r="AE483" i="21"/>
  <c r="AE284" i="21"/>
  <c r="AE311" i="21"/>
  <c r="AE427" i="21"/>
  <c r="AE436" i="21"/>
  <c r="AE459" i="21"/>
  <c r="AE464" i="21"/>
  <c r="AE468" i="21"/>
  <c r="AE475" i="21"/>
  <c r="AE484" i="21"/>
  <c r="AE494" i="21"/>
  <c r="AE315" i="21"/>
  <c r="AE377" i="21"/>
  <c r="AE402" i="21"/>
  <c r="AE471" i="21"/>
  <c r="AE479" i="21"/>
  <c r="AE495" i="21"/>
  <c r="AE408" i="21"/>
  <c r="AE432" i="21"/>
  <c r="AE491" i="21"/>
  <c r="AE393" i="21"/>
  <c r="AE426" i="21"/>
  <c r="AE458" i="21"/>
  <c r="AE480" i="21"/>
  <c r="AE385" i="21"/>
  <c r="AE435" i="21"/>
  <c r="AE474" i="21"/>
  <c r="AE486" i="21"/>
  <c r="AE496" i="21"/>
  <c r="AE461" i="21"/>
  <c r="AE500" i="21"/>
  <c r="AE443" i="21"/>
  <c r="AE481" i="21"/>
  <c r="AE497" i="21"/>
  <c r="AE379" i="21"/>
  <c r="AE490" i="21"/>
  <c r="AE499" i="21"/>
  <c r="AE485" i="21"/>
  <c r="AE492" i="21"/>
  <c r="AE2" i="21"/>
  <c r="AE498" i="21"/>
  <c r="AB19" i="21"/>
  <c r="AF6" i="21"/>
  <c r="AF14" i="21"/>
  <c r="AF22" i="21"/>
  <c r="AF43" i="21"/>
  <c r="AF50" i="21"/>
  <c r="AF58" i="21"/>
  <c r="AF66" i="21"/>
  <c r="AF74" i="21"/>
  <c r="AF82" i="21"/>
  <c r="AF9" i="21"/>
  <c r="AF25" i="21"/>
  <c r="AF33" i="21"/>
  <c r="AF53" i="21"/>
  <c r="AF61" i="21"/>
  <c r="AF69" i="21"/>
  <c r="AF77" i="21"/>
  <c r="AF10" i="21"/>
  <c r="AF26" i="21"/>
  <c r="AF34" i="21"/>
  <c r="AF40" i="21"/>
  <c r="AF46" i="21"/>
  <c r="AF54" i="21"/>
  <c r="AF62" i="21"/>
  <c r="AF70" i="21"/>
  <c r="AF4" i="21"/>
  <c r="AF12" i="21"/>
  <c r="AF20" i="21"/>
  <c r="AF28" i="21"/>
  <c r="AF36" i="21"/>
  <c r="AF48" i="21"/>
  <c r="AF56" i="21"/>
  <c r="AF72" i="21"/>
  <c r="AF80" i="21"/>
  <c r="AF5" i="21"/>
  <c r="AF13" i="21"/>
  <c r="AF21" i="21"/>
  <c r="AF29" i="21"/>
  <c r="AF37" i="21"/>
  <c r="AF49" i="21"/>
  <c r="AF57" i="21"/>
  <c r="AF65" i="21"/>
  <c r="AF73" i="21"/>
  <c r="AF81" i="21"/>
  <c r="AF83" i="21"/>
  <c r="AF85" i="21"/>
  <c r="AF99" i="21"/>
  <c r="AF105" i="21"/>
  <c r="AF115" i="21"/>
  <c r="AF121" i="21"/>
  <c r="AF125" i="21"/>
  <c r="AF131" i="21"/>
  <c r="AF90" i="21"/>
  <c r="AF100" i="21"/>
  <c r="AF110" i="21"/>
  <c r="AF91" i="21"/>
  <c r="AF96" i="21"/>
  <c r="AF101" i="21"/>
  <c r="AF106" i="21"/>
  <c r="AF111" i="21"/>
  <c r="AF117" i="21"/>
  <c r="AF126" i="21"/>
  <c r="AF8" i="21"/>
  <c r="AF16" i="21"/>
  <c r="AF24" i="21"/>
  <c r="AF32" i="21"/>
  <c r="AF38" i="21"/>
  <c r="AF44" i="21"/>
  <c r="AF52" i="21"/>
  <c r="AF60" i="21"/>
  <c r="AF68" i="21"/>
  <c r="AF76" i="21"/>
  <c r="AF86" i="21"/>
  <c r="AF92" i="21"/>
  <c r="AF107" i="21"/>
  <c r="AF112" i="21"/>
  <c r="AF122" i="21"/>
  <c r="AF84" i="21"/>
  <c r="AF93" i="21"/>
  <c r="AF104" i="21"/>
  <c r="AF119" i="21"/>
  <c r="AF124" i="21"/>
  <c r="AF97" i="21"/>
  <c r="AF145" i="21"/>
  <c r="AF152" i="21"/>
  <c r="AF159" i="21"/>
  <c r="AF167" i="21"/>
  <c r="AF88" i="21"/>
  <c r="AF113" i="21"/>
  <c r="AF116" i="21"/>
  <c r="AF138" i="21"/>
  <c r="AF153" i="21"/>
  <c r="AF41" i="21"/>
  <c r="AF45" i="21"/>
  <c r="AF139" i="21"/>
  <c r="AF146" i="21"/>
  <c r="AF154" i="21"/>
  <c r="AF161" i="21"/>
  <c r="AF169" i="21"/>
  <c r="AF103" i="21"/>
  <c r="AF127" i="21"/>
  <c r="AF128" i="21"/>
  <c r="AF140" i="21"/>
  <c r="AF147" i="21"/>
  <c r="AF162" i="21"/>
  <c r="AF170" i="21"/>
  <c r="AF118" i="21"/>
  <c r="AF129" i="21"/>
  <c r="AF130" i="21"/>
  <c r="AF132" i="21"/>
  <c r="AF133" i="21"/>
  <c r="AF141" i="21"/>
  <c r="AF148" i="21"/>
  <c r="AF155" i="21"/>
  <c r="AF163" i="21"/>
  <c r="AF15" i="21"/>
  <c r="AF31" i="21"/>
  <c r="AF47" i="21"/>
  <c r="AF63" i="21"/>
  <c r="AF79" i="21"/>
  <c r="AF98" i="21"/>
  <c r="AF108" i="21"/>
  <c r="AF114" i="21"/>
  <c r="AF165" i="21"/>
  <c r="AF174" i="21"/>
  <c r="AF182" i="21"/>
  <c r="AF190" i="21"/>
  <c r="AF196" i="21"/>
  <c r="AF201" i="21"/>
  <c r="AF207" i="21"/>
  <c r="AF102" i="21"/>
  <c r="AF168" i="21"/>
  <c r="AF173" i="21"/>
  <c r="AF175" i="21"/>
  <c r="AF183" i="21"/>
  <c r="AF191" i="21"/>
  <c r="AF208" i="21"/>
  <c r="AF11" i="21"/>
  <c r="AF27" i="21"/>
  <c r="AF59" i="21"/>
  <c r="AF75" i="21"/>
  <c r="AF89" i="21"/>
  <c r="AF109" i="21"/>
  <c r="AF135" i="21"/>
  <c r="AF137" i="21"/>
  <c r="AF143" i="21"/>
  <c r="AF149" i="21"/>
  <c r="AF151" i="21"/>
  <c r="AF157" i="21"/>
  <c r="AF172" i="21"/>
  <c r="AF176" i="21"/>
  <c r="AF184" i="21"/>
  <c r="AF192" i="21"/>
  <c r="AF197" i="21"/>
  <c r="AF202" i="21"/>
  <c r="AF209" i="21"/>
  <c r="AF216" i="21"/>
  <c r="AF7" i="21"/>
  <c r="AF23" i="21"/>
  <c r="AF39" i="21"/>
  <c r="AF55" i="21"/>
  <c r="AF71" i="21"/>
  <c r="AF178" i="21"/>
  <c r="AF186" i="21"/>
  <c r="AF194" i="21"/>
  <c r="AF87" i="21"/>
  <c r="AF136" i="21"/>
  <c r="AF166" i="21"/>
  <c r="AF179" i="21"/>
  <c r="AF187" i="21"/>
  <c r="AF19" i="21"/>
  <c r="AF144" i="21"/>
  <c r="AF198" i="21"/>
  <c r="AF203" i="21"/>
  <c r="AF215" i="21"/>
  <c r="AF233" i="21"/>
  <c r="AF67" i="21"/>
  <c r="AF120" i="21"/>
  <c r="AF134" i="21"/>
  <c r="AF150" i="21"/>
  <c r="AF160" i="21"/>
  <c r="AF180" i="21"/>
  <c r="AF188" i="21"/>
  <c r="AF214" i="21"/>
  <c r="AF222" i="21"/>
  <c r="AF228" i="21"/>
  <c r="AF234" i="21"/>
  <c r="AF240" i="21"/>
  <c r="AF244" i="21"/>
  <c r="AF249" i="21"/>
  <c r="AF253" i="21"/>
  <c r="AF258" i="21"/>
  <c r="AF156" i="21"/>
  <c r="AF193" i="21"/>
  <c r="AF206" i="21"/>
  <c r="AF213" i="21"/>
  <c r="AF221" i="21"/>
  <c r="AF223" i="21"/>
  <c r="AF229" i="21"/>
  <c r="AF235" i="21"/>
  <c r="AF259" i="21"/>
  <c r="AF264" i="21"/>
  <c r="AF269" i="21"/>
  <c r="AF35" i="21"/>
  <c r="AF164" i="21"/>
  <c r="AF212" i="21"/>
  <c r="AF220" i="21"/>
  <c r="AF236" i="21"/>
  <c r="AF241" i="21"/>
  <c r="AF245" i="21"/>
  <c r="AF250" i="21"/>
  <c r="AF254" i="21"/>
  <c r="AF51" i="21"/>
  <c r="AF189" i="21"/>
  <c r="AF199" i="21"/>
  <c r="AF200" i="21"/>
  <c r="AF204" i="21"/>
  <c r="AF217" i="21"/>
  <c r="AF226" i="21"/>
  <c r="AF243" i="21"/>
  <c r="AF247" i="21"/>
  <c r="AF267" i="21"/>
  <c r="AF171" i="21"/>
  <c r="AF181" i="21"/>
  <c r="AF205" i="21"/>
  <c r="AF274" i="21"/>
  <c r="AF279" i="21"/>
  <c r="AF299" i="21"/>
  <c r="AF304" i="21"/>
  <c r="AF218" i="21"/>
  <c r="AF225" i="21"/>
  <c r="AF227" i="21"/>
  <c r="AF231" i="21"/>
  <c r="AF238" i="21"/>
  <c r="AF256" i="21"/>
  <c r="AF268" i="21"/>
  <c r="AF275" i="21"/>
  <c r="AF280" i="21"/>
  <c r="AF285" i="21"/>
  <c r="AF291" i="21"/>
  <c r="AF294" i="21"/>
  <c r="AF305" i="21"/>
  <c r="AF123" i="21"/>
  <c r="AF185" i="21"/>
  <c r="AF211" i="21"/>
  <c r="AF265" i="21"/>
  <c r="AF266" i="21"/>
  <c r="AF281" i="21"/>
  <c r="AF286" i="21"/>
  <c r="AF295" i="21"/>
  <c r="AF300" i="21"/>
  <c r="AF142" i="21"/>
  <c r="AF195" i="21"/>
  <c r="AF219" i="21"/>
  <c r="AF237" i="21"/>
  <c r="AF246" i="21"/>
  <c r="AF255" i="21"/>
  <c r="AF263" i="21"/>
  <c r="AF276" i="21"/>
  <c r="AF282" i="21"/>
  <c r="AF288" i="21"/>
  <c r="AF292" i="21"/>
  <c r="AF296" i="21"/>
  <c r="AF307" i="21"/>
  <c r="AF3" i="21"/>
  <c r="AF224" i="21"/>
  <c r="AF230" i="21"/>
  <c r="AF232" i="21"/>
  <c r="AF252" i="21"/>
  <c r="AF262" i="21"/>
  <c r="AF272" i="21"/>
  <c r="AF283" i="21"/>
  <c r="AF289" i="21"/>
  <c r="AF297" i="21"/>
  <c r="AF302" i="21"/>
  <c r="AF242" i="21"/>
  <c r="AF284" i="21"/>
  <c r="AF301" i="21"/>
  <c r="AF303" i="21"/>
  <c r="AF308" i="21"/>
  <c r="AF319" i="21"/>
  <c r="AF325" i="21"/>
  <c r="AF333" i="21"/>
  <c r="AF341" i="21"/>
  <c r="AF349" i="21"/>
  <c r="AF357" i="21"/>
  <c r="AF364" i="21"/>
  <c r="AF257" i="21"/>
  <c r="AF261" i="21"/>
  <c r="AF270" i="21"/>
  <c r="AF290" i="21"/>
  <c r="AF239" i="21"/>
  <c r="AF273" i="21"/>
  <c r="AF315" i="21"/>
  <c r="AF320" i="21"/>
  <c r="AF327" i="21"/>
  <c r="AF339" i="21"/>
  <c r="AF343" i="21"/>
  <c r="AF351" i="21"/>
  <c r="AF359" i="21"/>
  <c r="AF366" i="21"/>
  <c r="AF177" i="21"/>
  <c r="AF251" i="21"/>
  <c r="AF271" i="21"/>
  <c r="AF287" i="21"/>
  <c r="AF298" i="21"/>
  <c r="AF311" i="21"/>
  <c r="AF316" i="21"/>
  <c r="AF329" i="21"/>
  <c r="AF345" i="21"/>
  <c r="AF158" i="21"/>
  <c r="AF248" i="21"/>
  <c r="AF306" i="21"/>
  <c r="AF309" i="21"/>
  <c r="AF310" i="21"/>
  <c r="AF317" i="21"/>
  <c r="AF322" i="21"/>
  <c r="AF330" i="21"/>
  <c r="AF336" i="21"/>
  <c r="AF340" i="21"/>
  <c r="AF346" i="21"/>
  <c r="AF354" i="21"/>
  <c r="AF278" i="21"/>
  <c r="AF314" i="21"/>
  <c r="AF355" i="21"/>
  <c r="AF363" i="21"/>
  <c r="AF372" i="21"/>
  <c r="AF379" i="21"/>
  <c r="AF386" i="21"/>
  <c r="AF393" i="21"/>
  <c r="AF403" i="21"/>
  <c r="AF408" i="21"/>
  <c r="AF422" i="21"/>
  <c r="AF427" i="21"/>
  <c r="AF432" i="21"/>
  <c r="AF437" i="21"/>
  <c r="AF443" i="21"/>
  <c r="AF454" i="21"/>
  <c r="AF459" i="21"/>
  <c r="AF472" i="21"/>
  <c r="AF342" i="21"/>
  <c r="AF373" i="21"/>
  <c r="AF380" i="21"/>
  <c r="AF387" i="21"/>
  <c r="AF398" i="21"/>
  <c r="AF404" i="21"/>
  <c r="AF409" i="21"/>
  <c r="AF260" i="21"/>
  <c r="AF313" i="21"/>
  <c r="AF347" i="21"/>
  <c r="AF350" i="21"/>
  <c r="AF358" i="21"/>
  <c r="AF362" i="21"/>
  <c r="AF367" i="21"/>
  <c r="AF374" i="21"/>
  <c r="AF381" i="21"/>
  <c r="AF388" i="21"/>
  <c r="AF394" i="21"/>
  <c r="AF399" i="21"/>
  <c r="AF439" i="21"/>
  <c r="AF461" i="21"/>
  <c r="AF324" i="21"/>
  <c r="AF332" i="21"/>
  <c r="AF335" i="21"/>
  <c r="AF338" i="21"/>
  <c r="AF344" i="21"/>
  <c r="AF368" i="21"/>
  <c r="AF375" i="21"/>
  <c r="AF382" i="21"/>
  <c r="AF389" i="21"/>
  <c r="AF400" i="21"/>
  <c r="AF410" i="21"/>
  <c r="AF414" i="21"/>
  <c r="AF419" i="21"/>
  <c r="AF424" i="21"/>
  <c r="AF434" i="21"/>
  <c r="AF440" i="21"/>
  <c r="AF445" i="21"/>
  <c r="AF451" i="21"/>
  <c r="AF456" i="21"/>
  <c r="AF462" i="21"/>
  <c r="AF467" i="21"/>
  <c r="AF470" i="21"/>
  <c r="AF473" i="21"/>
  <c r="AF321" i="21"/>
  <c r="AF353" i="21"/>
  <c r="AF361" i="21"/>
  <c r="AF365" i="21"/>
  <c r="AF369" i="21"/>
  <c r="AF323" i="21"/>
  <c r="AF331" i="21"/>
  <c r="AF337" i="21"/>
  <c r="AF352" i="21"/>
  <c r="AF356" i="21"/>
  <c r="AF360" i="21"/>
  <c r="AF370" i="21"/>
  <c r="AF385" i="21"/>
  <c r="AF391" i="21"/>
  <c r="AF402" i="21"/>
  <c r="AF406" i="21"/>
  <c r="AF412" i="21"/>
  <c r="AF416" i="21"/>
  <c r="AF426" i="21"/>
  <c r="AF431" i="21"/>
  <c r="AF436" i="21"/>
  <c r="AF442" i="21"/>
  <c r="AF448" i="21"/>
  <c r="AF458" i="21"/>
  <c r="AF468" i="21"/>
  <c r="AF475" i="21"/>
  <c r="AF277" i="21"/>
  <c r="AF328" i="21"/>
  <c r="AF397" i="21"/>
  <c r="AF401" i="21"/>
  <c r="AF413" i="21"/>
  <c r="AF425" i="21"/>
  <c r="AF428" i="21"/>
  <c r="AF457" i="21"/>
  <c r="AF460" i="21"/>
  <c r="AF466" i="21"/>
  <c r="AF476" i="21"/>
  <c r="AF481" i="21"/>
  <c r="AF486" i="21"/>
  <c r="AF492" i="21"/>
  <c r="AF348" i="21"/>
  <c r="AF376" i="21"/>
  <c r="AF378" i="21"/>
  <c r="AF384" i="21"/>
  <c r="AF487" i="21"/>
  <c r="AF405" i="21"/>
  <c r="AF407" i="21"/>
  <c r="AF415" i="21"/>
  <c r="AF465" i="21"/>
  <c r="AF469" i="21"/>
  <c r="AF482" i="21"/>
  <c r="AF488" i="21"/>
  <c r="AF493" i="21"/>
  <c r="AF318" i="21"/>
  <c r="AF326" i="21"/>
  <c r="AF334" i="21"/>
  <c r="AF390" i="21"/>
  <c r="AF392" i="21"/>
  <c r="AF396" i="21"/>
  <c r="AF418" i="21"/>
  <c r="AF430" i="21"/>
  <c r="AF433" i="21"/>
  <c r="AF447" i="21"/>
  <c r="AF450" i="21"/>
  <c r="AF483" i="21"/>
  <c r="AF411" i="21"/>
  <c r="AF421" i="21"/>
  <c r="AF441" i="21"/>
  <c r="AF444" i="21"/>
  <c r="AF453" i="21"/>
  <c r="AF464" i="21"/>
  <c r="AF484" i="21"/>
  <c r="AF489" i="21"/>
  <c r="AF494" i="21"/>
  <c r="AF293" i="21"/>
  <c r="AF423" i="21"/>
  <c r="AF429" i="21"/>
  <c r="AF435" i="21"/>
  <c r="AF446" i="21"/>
  <c r="AF455" i="21"/>
  <c r="AF474" i="21"/>
  <c r="AF477" i="21"/>
  <c r="AF480" i="21"/>
  <c r="AF485" i="21"/>
  <c r="AF490" i="21"/>
  <c r="AF496" i="21"/>
  <c r="AF438" i="21"/>
  <c r="AF500" i="21"/>
  <c r="AF491" i="21"/>
  <c r="AF501" i="21"/>
  <c r="AF312" i="21"/>
  <c r="AF377" i="21"/>
  <c r="AF478" i="21"/>
  <c r="AF463" i="21"/>
  <c r="AF471" i="21"/>
  <c r="AF2" i="21"/>
  <c r="AF371" i="21"/>
  <c r="AF383" i="21"/>
  <c r="AF417" i="21"/>
  <c r="AF449" i="21"/>
  <c r="AF498" i="21"/>
  <c r="AF499" i="21"/>
  <c r="AF210" i="21"/>
  <c r="AF395" i="21"/>
  <c r="AF497" i="21"/>
  <c r="AF420" i="21"/>
  <c r="AF452" i="21"/>
  <c r="AF479" i="21"/>
  <c r="AF495" i="21"/>
  <c r="AB466" i="21"/>
  <c r="AB223" i="21"/>
  <c r="AC9" i="21"/>
  <c r="AC17" i="21"/>
  <c r="AC25" i="21"/>
  <c r="AC33" i="21"/>
  <c r="AC53" i="21"/>
  <c r="AC61" i="21"/>
  <c r="AC69" i="21"/>
  <c r="AC77" i="21"/>
  <c r="AC3" i="21"/>
  <c r="AC4" i="21"/>
  <c r="AC12" i="21"/>
  <c r="AC20" i="21"/>
  <c r="AC28" i="21"/>
  <c r="AC36" i="21"/>
  <c r="AC48" i="21"/>
  <c r="AC56" i="21"/>
  <c r="AC64" i="21"/>
  <c r="AC72" i="21"/>
  <c r="AC80" i="21"/>
  <c r="AC5" i="21"/>
  <c r="AC13" i="21"/>
  <c r="AC21" i="21"/>
  <c r="AC29" i="21"/>
  <c r="AC37" i="21"/>
  <c r="AC42" i="21"/>
  <c r="AC49" i="21"/>
  <c r="AC57" i="21"/>
  <c r="AC65" i="21"/>
  <c r="AC73" i="21"/>
  <c r="AC81" i="21"/>
  <c r="AC7" i="21"/>
  <c r="AC15" i="21"/>
  <c r="AC23" i="21"/>
  <c r="AC31" i="21"/>
  <c r="AC38" i="21"/>
  <c r="AC44" i="21"/>
  <c r="AC51" i="21"/>
  <c r="AC59" i="21"/>
  <c r="AC67" i="21"/>
  <c r="AC75" i="21"/>
  <c r="AC8" i="21"/>
  <c r="AC16" i="21"/>
  <c r="AC24" i="21"/>
  <c r="AC32" i="21"/>
  <c r="AC39" i="21"/>
  <c r="AC45" i="21"/>
  <c r="AC52" i="21"/>
  <c r="AC60" i="21"/>
  <c r="AC68" i="21"/>
  <c r="AC76" i="21"/>
  <c r="AC86" i="21"/>
  <c r="AC92" i="21"/>
  <c r="AC107" i="21"/>
  <c r="AC112" i="21"/>
  <c r="AC122" i="21"/>
  <c r="AC127" i="21"/>
  <c r="AC87" i="21"/>
  <c r="AC97" i="21"/>
  <c r="AC102" i="21"/>
  <c r="AC108" i="21"/>
  <c r="AC10" i="21"/>
  <c r="AC18" i="21"/>
  <c r="AC26" i="21"/>
  <c r="AC34" i="21"/>
  <c r="AC40" i="21"/>
  <c r="AC46" i="21"/>
  <c r="AC54" i="21"/>
  <c r="AC62" i="21"/>
  <c r="AC70" i="21"/>
  <c r="AC78" i="21"/>
  <c r="AC88" i="21"/>
  <c r="AC103" i="21"/>
  <c r="AC113" i="21"/>
  <c r="AC118" i="21"/>
  <c r="AC123" i="21"/>
  <c r="AC6" i="21"/>
  <c r="AC14" i="21"/>
  <c r="AC22" i="21"/>
  <c r="AC30" i="21"/>
  <c r="AC50" i="21"/>
  <c r="AC58" i="21"/>
  <c r="AC66" i="21"/>
  <c r="AC74" i="21"/>
  <c r="AC82" i="21"/>
  <c r="AC93" i="21"/>
  <c r="AC104" i="21"/>
  <c r="AC119" i="21"/>
  <c r="AC11" i="21"/>
  <c r="AC19" i="21"/>
  <c r="AC27" i="21"/>
  <c r="AC35" i="21"/>
  <c r="AC41" i="21"/>
  <c r="AC47" i="21"/>
  <c r="AC55" i="21"/>
  <c r="AC63" i="21"/>
  <c r="AC71" i="21"/>
  <c r="AC79" i="21"/>
  <c r="AC90" i="21"/>
  <c r="AC95" i="21"/>
  <c r="AC100" i="21"/>
  <c r="AC110" i="21"/>
  <c r="AC116" i="21"/>
  <c r="AC84" i="21"/>
  <c r="AC128" i="21"/>
  <c r="AC140" i="21"/>
  <c r="AC147" i="21"/>
  <c r="AC162" i="21"/>
  <c r="AC170" i="21"/>
  <c r="AC99" i="21"/>
  <c r="AC129" i="21"/>
  <c r="AC130" i="21"/>
  <c r="AC141" i="21"/>
  <c r="AC148" i="21"/>
  <c r="AC155" i="21"/>
  <c r="AC94" i="21"/>
  <c r="AC101" i="21"/>
  <c r="AC105" i="21"/>
  <c r="AC121" i="21"/>
  <c r="AC131" i="21"/>
  <c r="AC132" i="21"/>
  <c r="AC133" i="21"/>
  <c r="AC134" i="21"/>
  <c r="AC135" i="21"/>
  <c r="AC136" i="21"/>
  <c r="AC142" i="21"/>
  <c r="AC149" i="21"/>
  <c r="AC156" i="21"/>
  <c r="AC164" i="21"/>
  <c r="AC172" i="21"/>
  <c r="AC96" i="21"/>
  <c r="AC109" i="21"/>
  <c r="AC115" i="21"/>
  <c r="AC124" i="21"/>
  <c r="AC125" i="21"/>
  <c r="AC126" i="21"/>
  <c r="AC143" i="21"/>
  <c r="AC150" i="21"/>
  <c r="AC157" i="21"/>
  <c r="AC165" i="21"/>
  <c r="AC173" i="21"/>
  <c r="AC85" i="21"/>
  <c r="AC89" i="21"/>
  <c r="AC98" i="21"/>
  <c r="AC120" i="21"/>
  <c r="AC137" i="21"/>
  <c r="AC144" i="21"/>
  <c r="AC151" i="21"/>
  <c r="AC158" i="21"/>
  <c r="AC166" i="21"/>
  <c r="AC145" i="21"/>
  <c r="AC159" i="21"/>
  <c r="AC177" i="21"/>
  <c r="AC185" i="21"/>
  <c r="AC193" i="21"/>
  <c r="AC198" i="21"/>
  <c r="AC203" i="21"/>
  <c r="AC210" i="21"/>
  <c r="AC217" i="21"/>
  <c r="AC153" i="21"/>
  <c r="AC167" i="21"/>
  <c r="AC178" i="21"/>
  <c r="AC186" i="21"/>
  <c r="AC194" i="21"/>
  <c r="AC199" i="21"/>
  <c r="AC204" i="21"/>
  <c r="AC43" i="21"/>
  <c r="AC139" i="21"/>
  <c r="AC171" i="21"/>
  <c r="AC179" i="21"/>
  <c r="AC187" i="21"/>
  <c r="AC195" i="21"/>
  <c r="AC205" i="21"/>
  <c r="AC212" i="21"/>
  <c r="AC219" i="21"/>
  <c r="AC152" i="21"/>
  <c r="AC181" i="21"/>
  <c r="AC189" i="21"/>
  <c r="AC138" i="21"/>
  <c r="AC160" i="21"/>
  <c r="AC174" i="21"/>
  <c r="AC182" i="21"/>
  <c r="AC180" i="21"/>
  <c r="AC188" i="21"/>
  <c r="AC220" i="21"/>
  <c r="AC163" i="21"/>
  <c r="AC169" i="21"/>
  <c r="AC176" i="21"/>
  <c r="AC184" i="21"/>
  <c r="AC190" i="21"/>
  <c r="AC224" i="21"/>
  <c r="AC230" i="21"/>
  <c r="AC251" i="21"/>
  <c r="AC255" i="21"/>
  <c r="AC196" i="21"/>
  <c r="AC197" i="21"/>
  <c r="AC201" i="21"/>
  <c r="AC202" i="21"/>
  <c r="AC211" i="21"/>
  <c r="AC225" i="21"/>
  <c r="AC231" i="21"/>
  <c r="AC237" i="21"/>
  <c r="AC242" i="21"/>
  <c r="AC246" i="21"/>
  <c r="AC256" i="21"/>
  <c r="AC260" i="21"/>
  <c r="AC266" i="21"/>
  <c r="AC272" i="21"/>
  <c r="AC117" i="21"/>
  <c r="AC146" i="21"/>
  <c r="AC161" i="21"/>
  <c r="AC200" i="21"/>
  <c r="AC218" i="21"/>
  <c r="AC226" i="21"/>
  <c r="AC243" i="21"/>
  <c r="AC247" i="21"/>
  <c r="AC168" i="21"/>
  <c r="AC208" i="21"/>
  <c r="AC214" i="21"/>
  <c r="AC215" i="21"/>
  <c r="AC216" i="21"/>
  <c r="AC228" i="21"/>
  <c r="AC234" i="21"/>
  <c r="AC240" i="21"/>
  <c r="AC244" i="21"/>
  <c r="AC249" i="21"/>
  <c r="AC253" i="21"/>
  <c r="AC258" i="21"/>
  <c r="AC263" i="21"/>
  <c r="AC175" i="21"/>
  <c r="AC191" i="21"/>
  <c r="AC233" i="21"/>
  <c r="AC241" i="21"/>
  <c r="AC265" i="21"/>
  <c r="AC287" i="21"/>
  <c r="AC301" i="21"/>
  <c r="AC306" i="21"/>
  <c r="AC83" i="21"/>
  <c r="AC154" i="21"/>
  <c r="AC221" i="21"/>
  <c r="AC223" i="21"/>
  <c r="AC229" i="21"/>
  <c r="AC235" i="21"/>
  <c r="AC250" i="21"/>
  <c r="AC264" i="21"/>
  <c r="AC276" i="21"/>
  <c r="AC282" i="21"/>
  <c r="AC288" i="21"/>
  <c r="AC292" i="21"/>
  <c r="AC296" i="21"/>
  <c r="AC91" i="21"/>
  <c r="AC111" i="21"/>
  <c r="AC206" i="21"/>
  <c r="AC283" i="21"/>
  <c r="AC289" i="21"/>
  <c r="AC297" i="21"/>
  <c r="AC302" i="21"/>
  <c r="AC192" i="21"/>
  <c r="AC232" i="21"/>
  <c r="AC252" i="21"/>
  <c r="AC262" i="21"/>
  <c r="AC106" i="21"/>
  <c r="AC183" i="21"/>
  <c r="AC209" i="21"/>
  <c r="AC239" i="21"/>
  <c r="AC248" i="21"/>
  <c r="AC257" i="21"/>
  <c r="AC261" i="21"/>
  <c r="AC271" i="21"/>
  <c r="AC278" i="21"/>
  <c r="AC284" i="21"/>
  <c r="AC290" i="21"/>
  <c r="AC298" i="21"/>
  <c r="AC309" i="21"/>
  <c r="AC207" i="21"/>
  <c r="AC222" i="21"/>
  <c r="AC270" i="21"/>
  <c r="AC274" i="21"/>
  <c r="AC279" i="21"/>
  <c r="AC299" i="21"/>
  <c r="AC304" i="21"/>
  <c r="AC213" i="21"/>
  <c r="AC238" i="21"/>
  <c r="AC267" i="21"/>
  <c r="AC286" i="21"/>
  <c r="AC321" i="21"/>
  <c r="AC328" i="21"/>
  <c r="AC335" i="21"/>
  <c r="AC344" i="21"/>
  <c r="AC352" i="21"/>
  <c r="AC360" i="21"/>
  <c r="AC273" i="21"/>
  <c r="AC275" i="21"/>
  <c r="AC277" i="21"/>
  <c r="AC294" i="21"/>
  <c r="AC311" i="21"/>
  <c r="AC317" i="21"/>
  <c r="AC322" i="21"/>
  <c r="AC330" i="21"/>
  <c r="AC336" i="21"/>
  <c r="AC340" i="21"/>
  <c r="AC346" i="21"/>
  <c r="AC354" i="21"/>
  <c r="AC291" i="21"/>
  <c r="AC300" i="21"/>
  <c r="AC313" i="21"/>
  <c r="AC318" i="21"/>
  <c r="AC324" i="21"/>
  <c r="AC332" i="21"/>
  <c r="AC337" i="21"/>
  <c r="AC348" i="21"/>
  <c r="AC114" i="21"/>
  <c r="AC227" i="21"/>
  <c r="AC259" i="21"/>
  <c r="AC269" i="21"/>
  <c r="AC293" i="21"/>
  <c r="AC319" i="21"/>
  <c r="AC325" i="21"/>
  <c r="AC333" i="21"/>
  <c r="AC341" i="21"/>
  <c r="AC349" i="21"/>
  <c r="AC357" i="21"/>
  <c r="AC364" i="21"/>
  <c r="AC303" i="21"/>
  <c r="AC350" i="21"/>
  <c r="AC358" i="21"/>
  <c r="AC362" i="21"/>
  <c r="AC367" i="21"/>
  <c r="AC368" i="21"/>
  <c r="AC375" i="21"/>
  <c r="AC382" i="21"/>
  <c r="AC389" i="21"/>
  <c r="AC400" i="21"/>
  <c r="AC410" i="21"/>
  <c r="AC414" i="21"/>
  <c r="AC419" i="21"/>
  <c r="AC424" i="21"/>
  <c r="AC434" i="21"/>
  <c r="AC440" i="21"/>
  <c r="AC445" i="21"/>
  <c r="AC451" i="21"/>
  <c r="AC456" i="21"/>
  <c r="AC462" i="21"/>
  <c r="AC467" i="21"/>
  <c r="AC470" i="21"/>
  <c r="AC473" i="21"/>
  <c r="AC478" i="21"/>
  <c r="AC254" i="21"/>
  <c r="AC285" i="21"/>
  <c r="AC316" i="21"/>
  <c r="AC327" i="21"/>
  <c r="AC338" i="21"/>
  <c r="AC347" i="21"/>
  <c r="AC366" i="21"/>
  <c r="AC369" i="21"/>
  <c r="AC376" i="21"/>
  <c r="AC383" i="21"/>
  <c r="AC395" i="21"/>
  <c r="AC401" i="21"/>
  <c r="AC405" i="21"/>
  <c r="AC307" i="21"/>
  <c r="AC353" i="21"/>
  <c r="AC361" i="21"/>
  <c r="AC365" i="21"/>
  <c r="AC377" i="21"/>
  <c r="AC384" i="21"/>
  <c r="AC390" i="21"/>
  <c r="AC396" i="21"/>
  <c r="AC411" i="21"/>
  <c r="AC430" i="21"/>
  <c r="AC435" i="21"/>
  <c r="AC447" i="21"/>
  <c r="AC464" i="21"/>
  <c r="AC471" i="21"/>
  <c r="AC474" i="21"/>
  <c r="AC295" i="21"/>
  <c r="AC310" i="21"/>
  <c r="AC326" i="21"/>
  <c r="AC329" i="21"/>
  <c r="AC334" i="21"/>
  <c r="AC370" i="21"/>
  <c r="AC385" i="21"/>
  <c r="AC391" i="21"/>
  <c r="AC402" i="21"/>
  <c r="AC406" i="21"/>
  <c r="AC412" i="21"/>
  <c r="AC416" i="21"/>
  <c r="AC426" i="21"/>
  <c r="AC431" i="21"/>
  <c r="AC436" i="21"/>
  <c r="AC442" i="21"/>
  <c r="AC448" i="21"/>
  <c r="AC458" i="21"/>
  <c r="AC468" i="21"/>
  <c r="AC475" i="21"/>
  <c r="AC245" i="21"/>
  <c r="AC280" i="21"/>
  <c r="AC312" i="21"/>
  <c r="AC315" i="21"/>
  <c r="AC356" i="21"/>
  <c r="AC268" i="21"/>
  <c r="AC314" i="21"/>
  <c r="AC320" i="21"/>
  <c r="AC355" i="21"/>
  <c r="AC363" i="21"/>
  <c r="AC373" i="21"/>
  <c r="AC380" i="21"/>
  <c r="AC387" i="21"/>
  <c r="AC398" i="21"/>
  <c r="AC404" i="21"/>
  <c r="AC409" i="21"/>
  <c r="AC413" i="21"/>
  <c r="AC418" i="21"/>
  <c r="AC423" i="21"/>
  <c r="AC428" i="21"/>
  <c r="AC433" i="21"/>
  <c r="AC438" i="21"/>
  <c r="AC444" i="21"/>
  <c r="AC450" i="21"/>
  <c r="AC455" i="21"/>
  <c r="AC460" i="21"/>
  <c r="AC466" i="21"/>
  <c r="AC469" i="21"/>
  <c r="AC477" i="21"/>
  <c r="AC305" i="21"/>
  <c r="AC372" i="21"/>
  <c r="AC399" i="21"/>
  <c r="AC403" i="21"/>
  <c r="AC407" i="21"/>
  <c r="AC422" i="21"/>
  <c r="AC454" i="21"/>
  <c r="AC465" i="21"/>
  <c r="AC483" i="21"/>
  <c r="AC374" i="21"/>
  <c r="AC386" i="21"/>
  <c r="AC392" i="21"/>
  <c r="AC415" i="21"/>
  <c r="AC439" i="21"/>
  <c r="AC472" i="21"/>
  <c r="AC484" i="21"/>
  <c r="AC489" i="21"/>
  <c r="AC494" i="21"/>
  <c r="AC236" i="21"/>
  <c r="AC345" i="21"/>
  <c r="AC388" i="21"/>
  <c r="AC421" i="21"/>
  <c r="AC427" i="21"/>
  <c r="AC453" i="21"/>
  <c r="AC459" i="21"/>
  <c r="AC479" i="21"/>
  <c r="AC495" i="21"/>
  <c r="AC371" i="21"/>
  <c r="AC394" i="21"/>
  <c r="AC417" i="21"/>
  <c r="AC441" i="21"/>
  <c r="AC449" i="21"/>
  <c r="AC480" i="21"/>
  <c r="AC485" i="21"/>
  <c r="AC490" i="21"/>
  <c r="AC496" i="21"/>
  <c r="AC342" i="21"/>
  <c r="AC379" i="21"/>
  <c r="AC420" i="21"/>
  <c r="AC452" i="21"/>
  <c r="AC461" i="21"/>
  <c r="AC491" i="21"/>
  <c r="AC339" i="21"/>
  <c r="AC343" i="21"/>
  <c r="AC393" i="21"/>
  <c r="AC397" i="21"/>
  <c r="AC443" i="21"/>
  <c r="AC463" i="21"/>
  <c r="AC476" i="21"/>
  <c r="AC487" i="21"/>
  <c r="AC446" i="21"/>
  <c r="AC488" i="21"/>
  <c r="AC323" i="21"/>
  <c r="AC486" i="21"/>
  <c r="AC497" i="21"/>
  <c r="AC381" i="21"/>
  <c r="AC481" i="21"/>
  <c r="AC429" i="21"/>
  <c r="AC2" i="21"/>
  <c r="AC408" i="21"/>
  <c r="AC492" i="21"/>
  <c r="AC498" i="21"/>
  <c r="AC281" i="21"/>
  <c r="AC359" i="21"/>
  <c r="AC425" i="21"/>
  <c r="AC437" i="21"/>
  <c r="AC457" i="21"/>
  <c r="AC482" i="21"/>
  <c r="AC493" i="21"/>
  <c r="AC308" i="21"/>
  <c r="AC331" i="21"/>
  <c r="AC351" i="21"/>
  <c r="AC378" i="21"/>
  <c r="AC432" i="21"/>
  <c r="AC499" i="21"/>
  <c r="AC501" i="21"/>
  <c r="AC500" i="21"/>
  <c r="AB125" i="21"/>
  <c r="AB337" i="21"/>
  <c r="AB362" i="21"/>
  <c r="AB415" i="21"/>
  <c r="AB440" i="21"/>
  <c r="AB459" i="21"/>
  <c r="AB315" i="21"/>
  <c r="AB324" i="21"/>
  <c r="AB311" i="21"/>
  <c r="AB283" i="21"/>
  <c r="AB201" i="21"/>
  <c r="AB20" i="21"/>
  <c r="AB51" i="21"/>
  <c r="AB6" i="21"/>
  <c r="AB454" i="21"/>
  <c r="AB483" i="21"/>
  <c r="AB488" i="21"/>
  <c r="AB482" i="21"/>
  <c r="AB290" i="21"/>
  <c r="AB478" i="21"/>
  <c r="AB421" i="21"/>
  <c r="AB467" i="21"/>
  <c r="AB388" i="21"/>
  <c r="AB394" i="21"/>
  <c r="AB472" i="21"/>
  <c r="AB322" i="21"/>
  <c r="AB316" i="21"/>
  <c r="AB273" i="21"/>
  <c r="AB266" i="21"/>
  <c r="AB291" i="21"/>
  <c r="AB484" i="21"/>
  <c r="AB401" i="21"/>
  <c r="AB339" i="21"/>
  <c r="AB350" i="21"/>
  <c r="AB420" i="21"/>
  <c r="AB328" i="21"/>
  <c r="AB403" i="21"/>
  <c r="AB352" i="21"/>
  <c r="AB407" i="21"/>
  <c r="AB301" i="21"/>
  <c r="AB447" i="21"/>
  <c r="AB396" i="21"/>
  <c r="AB359" i="21"/>
  <c r="AB363" i="21"/>
  <c r="AB354" i="21"/>
  <c r="AB295" i="21"/>
  <c r="AB13" i="21"/>
  <c r="AB52" i="21"/>
  <c r="AB12" i="21"/>
  <c r="AB10" i="21"/>
  <c r="AB17" i="21"/>
  <c r="AB58" i="21"/>
  <c r="AB474" i="21"/>
  <c r="AB471" i="21"/>
  <c r="AB370" i="21"/>
  <c r="AB435" i="21"/>
  <c r="AB377" i="21"/>
  <c r="AB438" i="21"/>
  <c r="AB380" i="21"/>
  <c r="AB238" i="21"/>
  <c r="AB437" i="21"/>
  <c r="AB306" i="21"/>
  <c r="AB341" i="21"/>
  <c r="AB296" i="21"/>
  <c r="AB268" i="21"/>
  <c r="AB219" i="21"/>
  <c r="AB242" i="21"/>
  <c r="AB279" i="21"/>
  <c r="AB304" i="21"/>
  <c r="AB246" i="21"/>
  <c r="AB200" i="21"/>
  <c r="AB113" i="21"/>
  <c r="AB102" i="21"/>
  <c r="AB98" i="21"/>
  <c r="AB91" i="21"/>
  <c r="AB90" i="21"/>
  <c r="AB105" i="21"/>
  <c r="AB36" i="21"/>
  <c r="AB69" i="21"/>
  <c r="AB76" i="21"/>
  <c r="AB37" i="21"/>
  <c r="AB399" i="21"/>
  <c r="AB405" i="21"/>
  <c r="AB397" i="21"/>
  <c r="AB382" i="21"/>
  <c r="AB497" i="21"/>
  <c r="AB425" i="21"/>
  <c r="AB431" i="21"/>
  <c r="AB345" i="21"/>
  <c r="AB392" i="21"/>
  <c r="AB357" i="21"/>
  <c r="AB351" i="21"/>
  <c r="AB356" i="21"/>
  <c r="AB346" i="21"/>
  <c r="AB303" i="21"/>
  <c r="AB8" i="21"/>
  <c r="AB50" i="21"/>
  <c r="AB495" i="21"/>
  <c r="AB443" i="21"/>
  <c r="AB385" i="21"/>
  <c r="AB441" i="21"/>
  <c r="AB430" i="21"/>
  <c r="AB433" i="21"/>
  <c r="AB373" i="21"/>
  <c r="AB318" i="21"/>
  <c r="AB417" i="21"/>
  <c r="AB284" i="21"/>
  <c r="AB292" i="21"/>
  <c r="AB257" i="21"/>
  <c r="AB198" i="21"/>
  <c r="AB271" i="21"/>
  <c r="AB278" i="21"/>
  <c r="AB258" i="21"/>
  <c r="AB202" i="21"/>
  <c r="AB89" i="21"/>
  <c r="AB93" i="21"/>
  <c r="AB86" i="21"/>
  <c r="AB94" i="21"/>
  <c r="AB61" i="21"/>
  <c r="AB335" i="21"/>
  <c r="AB496" i="21"/>
  <c r="AB416" i="21"/>
  <c r="AB136" i="21"/>
  <c r="AB457" i="21"/>
  <c r="AB404" i="21"/>
  <c r="AB444" i="21"/>
  <c r="AB267" i="21"/>
  <c r="AB432" i="21"/>
  <c r="AB393" i="21"/>
  <c r="AB353" i="21"/>
  <c r="AB343" i="21"/>
  <c r="AB348" i="21"/>
  <c r="AB330" i="21"/>
  <c r="AB275" i="21"/>
  <c r="AB4" i="21"/>
  <c r="AB54" i="21"/>
  <c r="AB55" i="21"/>
  <c r="AB490" i="21"/>
  <c r="AB429" i="21"/>
  <c r="AB264" i="21"/>
  <c r="AB453" i="21"/>
  <c r="AB426" i="21"/>
  <c r="AB314" i="21"/>
  <c r="AB434" i="21"/>
  <c r="AB312" i="21"/>
  <c r="AB247" i="21"/>
  <c r="AB302" i="21"/>
  <c r="AB287" i="21"/>
  <c r="AB255" i="21"/>
  <c r="AB274" i="21"/>
  <c r="AB231" i="21"/>
  <c r="AB3" i="21"/>
  <c r="AB149" i="21"/>
  <c r="AB87" i="21"/>
  <c r="AB145" i="21"/>
  <c r="AB137" i="21"/>
  <c r="AB78" i="21"/>
  <c r="AB85" i="21"/>
  <c r="AB41" i="21"/>
  <c r="AB436" i="21"/>
  <c r="AB400" i="21"/>
  <c r="AB333" i="21"/>
  <c r="AB321" i="21"/>
  <c r="AB347" i="21"/>
  <c r="AB199" i="21"/>
  <c r="AB317" i="21"/>
  <c r="AB297" i="21"/>
  <c r="AB57" i="21"/>
  <c r="AB46" i="21"/>
  <c r="AB15" i="21"/>
  <c r="AB47" i="21"/>
  <c r="AB485" i="21"/>
  <c r="AB413" i="21"/>
  <c r="AB491" i="21"/>
  <c r="AB468" i="21"/>
  <c r="AB293" i="21"/>
  <c r="AB414" i="21"/>
  <c r="AB398" i="21"/>
  <c r="AB310" i="21"/>
  <c r="AB340" i="21"/>
  <c r="AB282" i="21"/>
  <c r="AB248" i="21"/>
  <c r="AB300" i="21"/>
  <c r="AB23" i="21"/>
  <c r="AB252" i="21"/>
  <c r="AB262" i="21"/>
  <c r="AB250" i="21"/>
  <c r="AB244" i="21"/>
  <c r="AB193" i="21"/>
  <c r="AB214" i="21"/>
  <c r="AB122" i="21"/>
  <c r="AB106" i="21"/>
  <c r="AB44" i="21"/>
  <c r="AB33" i="21"/>
  <c r="AB73" i="21"/>
  <c r="AB480" i="21"/>
  <c r="AB479" i="21"/>
  <c r="AB395" i="21"/>
  <c r="AB439" i="21"/>
  <c r="AB456" i="21"/>
  <c r="AB325" i="21"/>
  <c r="AB349" i="21"/>
  <c r="AB391" i="21"/>
  <c r="AB344" i="21"/>
  <c r="AB326" i="21"/>
  <c r="AB251" i="21"/>
  <c r="AB7" i="21"/>
  <c r="AB469" i="21"/>
  <c r="AB389" i="21"/>
  <c r="AB486" i="21"/>
  <c r="AB427" i="21"/>
  <c r="AB406" i="21"/>
  <c r="AB473" i="21"/>
  <c r="AB410" i="21"/>
  <c r="AB286" i="21"/>
  <c r="AB378" i="21"/>
  <c r="AB336" i="21"/>
  <c r="AB338" i="21"/>
  <c r="AB276" i="21"/>
  <c r="AB211" i="21"/>
  <c r="AB261" i="21"/>
  <c r="AB245" i="21"/>
  <c r="AB269" i="21"/>
  <c r="AB239" i="21"/>
  <c r="AB196" i="21"/>
  <c r="AB141" i="21"/>
  <c r="AB115" i="21"/>
  <c r="AB121" i="21"/>
  <c r="AB70" i="21"/>
  <c r="AB40" i="21"/>
  <c r="AB27" i="21"/>
  <c r="AB45" i="21"/>
  <c r="AB65" i="21"/>
  <c r="A3" i="27"/>
  <c r="B3" i="27"/>
  <c r="C3" i="27"/>
  <c r="D3" i="27"/>
  <c r="E3" i="27"/>
  <c r="F3" i="27"/>
  <c r="A4" i="27"/>
  <c r="B4" i="27"/>
  <c r="C4" i="27"/>
  <c r="D4" i="27"/>
  <c r="E4" i="27"/>
  <c r="F4" i="27"/>
  <c r="A5" i="27"/>
  <c r="B5" i="27"/>
  <c r="C5" i="27"/>
  <c r="D5" i="27"/>
  <c r="E5" i="27"/>
  <c r="F5" i="27"/>
  <c r="A6" i="27"/>
  <c r="B6" i="27"/>
  <c r="C6" i="27"/>
  <c r="D6" i="27"/>
  <c r="E6" i="27"/>
  <c r="F6" i="27"/>
  <c r="A7" i="27"/>
  <c r="B7" i="27"/>
  <c r="C7" i="27"/>
  <c r="D7" i="27"/>
  <c r="E7" i="27"/>
  <c r="F7" i="27"/>
  <c r="A8" i="27"/>
  <c r="B8" i="27"/>
  <c r="C8" i="27"/>
  <c r="D8" i="27"/>
  <c r="E8" i="27"/>
  <c r="F8" i="27"/>
  <c r="A9" i="27"/>
  <c r="B9" i="27"/>
  <c r="C9" i="27"/>
  <c r="D9" i="27"/>
  <c r="E9" i="27"/>
  <c r="F9" i="27"/>
  <c r="A10" i="27"/>
  <c r="B10" i="27"/>
  <c r="C10" i="27"/>
  <c r="D10" i="27"/>
  <c r="E10" i="27"/>
  <c r="F10" i="27"/>
  <c r="A11" i="27"/>
  <c r="B11" i="27"/>
  <c r="C11" i="27"/>
  <c r="D11" i="27"/>
  <c r="E11" i="27"/>
  <c r="F11" i="27"/>
  <c r="A12" i="27"/>
  <c r="B12" i="27"/>
  <c r="C12" i="27"/>
  <c r="D12" i="27"/>
  <c r="E12" i="27"/>
  <c r="F12" i="27"/>
  <c r="A13" i="27"/>
  <c r="B13" i="27"/>
  <c r="C13" i="27"/>
  <c r="D13" i="27"/>
  <c r="E13" i="27"/>
  <c r="F13" i="27"/>
  <c r="A14" i="27"/>
  <c r="B14" i="27"/>
  <c r="C14" i="27"/>
  <c r="D14" i="27"/>
  <c r="E14" i="27"/>
  <c r="F14" i="27"/>
  <c r="A15" i="27"/>
  <c r="B15" i="27"/>
  <c r="C15" i="27"/>
  <c r="D15" i="27"/>
  <c r="E15" i="27"/>
  <c r="F15" i="27"/>
  <c r="A16" i="27"/>
  <c r="B16" i="27"/>
  <c r="C16" i="27"/>
  <c r="D16" i="27"/>
  <c r="E16" i="27"/>
  <c r="F16" i="27"/>
  <c r="A17" i="27"/>
  <c r="B17" i="27"/>
  <c r="C17" i="27"/>
  <c r="D17" i="27"/>
  <c r="E17" i="27"/>
  <c r="F17" i="27"/>
  <c r="A18" i="27"/>
  <c r="B18" i="27"/>
  <c r="C18" i="27"/>
  <c r="D18" i="27"/>
  <c r="E18" i="27"/>
  <c r="F18" i="27"/>
  <c r="A19" i="27"/>
  <c r="B19" i="27"/>
  <c r="C19" i="27"/>
  <c r="D19" i="27"/>
  <c r="E19" i="27"/>
  <c r="F19" i="27"/>
  <c r="A20" i="27"/>
  <c r="B20" i="27"/>
  <c r="C20" i="27"/>
  <c r="D20" i="27"/>
  <c r="E20" i="27"/>
  <c r="F20" i="27"/>
  <c r="A21" i="27"/>
  <c r="B21" i="27"/>
  <c r="C21" i="27"/>
  <c r="D21" i="27"/>
  <c r="E21" i="27"/>
  <c r="F21" i="27"/>
  <c r="A22" i="27"/>
  <c r="B22" i="27"/>
  <c r="C22" i="27"/>
  <c r="D22" i="27"/>
  <c r="E22" i="27"/>
  <c r="F22" i="27"/>
  <c r="A23" i="27"/>
  <c r="B23" i="27"/>
  <c r="C23" i="27"/>
  <c r="D23" i="27"/>
  <c r="E23" i="27"/>
  <c r="F23" i="27"/>
  <c r="A24" i="27"/>
  <c r="B24" i="27"/>
  <c r="C24" i="27"/>
  <c r="D24" i="27"/>
  <c r="E24" i="27"/>
  <c r="F24" i="27"/>
  <c r="A25" i="27"/>
  <c r="B25" i="27"/>
  <c r="C25" i="27"/>
  <c r="D25" i="27"/>
  <c r="E25" i="27"/>
  <c r="F25" i="27"/>
  <c r="A26" i="27"/>
  <c r="B26" i="27"/>
  <c r="C26" i="27"/>
  <c r="D26" i="27"/>
  <c r="E26" i="27"/>
  <c r="F26" i="27"/>
  <c r="A27" i="27"/>
  <c r="B27" i="27"/>
  <c r="C27" i="27"/>
  <c r="D27" i="27"/>
  <c r="E27" i="27"/>
  <c r="F27" i="27"/>
  <c r="A28" i="27"/>
  <c r="B28" i="27"/>
  <c r="C28" i="27"/>
  <c r="D28" i="27"/>
  <c r="E28" i="27"/>
  <c r="F28" i="27"/>
  <c r="A29" i="27"/>
  <c r="B29" i="27"/>
  <c r="C29" i="27"/>
  <c r="D29" i="27"/>
  <c r="E29" i="27"/>
  <c r="F29" i="27"/>
  <c r="A30" i="27"/>
  <c r="B30" i="27"/>
  <c r="C30" i="27"/>
  <c r="D30" i="27"/>
  <c r="E30" i="27"/>
  <c r="F30" i="27"/>
  <c r="A31" i="27"/>
  <c r="B31" i="27"/>
  <c r="C31" i="27"/>
  <c r="D31" i="27"/>
  <c r="E31" i="27"/>
  <c r="F31" i="27"/>
  <c r="A32" i="27"/>
  <c r="B32" i="27"/>
  <c r="C32" i="27"/>
  <c r="D32" i="27"/>
  <c r="E32" i="27"/>
  <c r="F32" i="27"/>
  <c r="A33" i="27"/>
  <c r="B33" i="27"/>
  <c r="C33" i="27"/>
  <c r="D33" i="27"/>
  <c r="E33" i="27"/>
  <c r="F33" i="27"/>
  <c r="A34" i="27"/>
  <c r="B34" i="27"/>
  <c r="C34" i="27"/>
  <c r="D34" i="27"/>
  <c r="E34" i="27"/>
  <c r="F34" i="27"/>
  <c r="A35" i="27"/>
  <c r="B35" i="27"/>
  <c r="C35" i="27"/>
  <c r="D35" i="27"/>
  <c r="E35" i="27"/>
  <c r="F35" i="27"/>
  <c r="A36" i="27"/>
  <c r="B36" i="27"/>
  <c r="C36" i="27"/>
  <c r="D36" i="27"/>
  <c r="E36" i="27"/>
  <c r="F36" i="27"/>
  <c r="A37" i="27"/>
  <c r="B37" i="27"/>
  <c r="C37" i="27"/>
  <c r="D37" i="27"/>
  <c r="E37" i="27"/>
  <c r="F37" i="27"/>
  <c r="A38" i="27"/>
  <c r="B38" i="27"/>
  <c r="C38" i="27"/>
  <c r="D38" i="27"/>
  <c r="E38" i="27"/>
  <c r="F38" i="27"/>
  <c r="A39" i="27"/>
  <c r="B39" i="27"/>
  <c r="C39" i="27"/>
  <c r="D39" i="27"/>
  <c r="E39" i="27"/>
  <c r="F39" i="27"/>
  <c r="A40" i="27"/>
  <c r="B40" i="27"/>
  <c r="C40" i="27"/>
  <c r="D40" i="27"/>
  <c r="E40" i="27"/>
  <c r="F40" i="27"/>
  <c r="A41" i="27"/>
  <c r="B41" i="27"/>
  <c r="C41" i="27"/>
  <c r="D41" i="27"/>
  <c r="E41" i="27"/>
  <c r="F41" i="27"/>
  <c r="A42" i="27"/>
  <c r="B42" i="27"/>
  <c r="C42" i="27"/>
  <c r="D42" i="27"/>
  <c r="E42" i="27"/>
  <c r="F42" i="27"/>
  <c r="A43" i="27"/>
  <c r="B43" i="27"/>
  <c r="C43" i="27"/>
  <c r="D43" i="27"/>
  <c r="E43" i="27"/>
  <c r="F43" i="27"/>
  <c r="A44" i="27"/>
  <c r="B44" i="27"/>
  <c r="C44" i="27"/>
  <c r="D44" i="27"/>
  <c r="E44" i="27"/>
  <c r="F44" i="27"/>
  <c r="A45" i="27"/>
  <c r="B45" i="27"/>
  <c r="C45" i="27"/>
  <c r="D45" i="27"/>
  <c r="E45" i="27"/>
  <c r="F45" i="27"/>
  <c r="A46" i="27"/>
  <c r="B46" i="27"/>
  <c r="C46" i="27"/>
  <c r="D46" i="27"/>
  <c r="E46" i="27"/>
  <c r="F46" i="27"/>
  <c r="A47" i="27"/>
  <c r="B47" i="27"/>
  <c r="C47" i="27"/>
  <c r="D47" i="27"/>
  <c r="E47" i="27"/>
  <c r="F47" i="27"/>
  <c r="A48" i="27"/>
  <c r="B48" i="27"/>
  <c r="C48" i="27"/>
  <c r="D48" i="27"/>
  <c r="E48" i="27"/>
  <c r="F48" i="27"/>
  <c r="A49" i="27"/>
  <c r="B49" i="27"/>
  <c r="C49" i="27"/>
  <c r="D49" i="27"/>
  <c r="E49" i="27"/>
  <c r="F49" i="27"/>
  <c r="A50" i="27"/>
  <c r="B50" i="27"/>
  <c r="C50" i="27"/>
  <c r="D50" i="27"/>
  <c r="E50" i="27"/>
  <c r="F50" i="27"/>
  <c r="A51" i="27"/>
  <c r="B51" i="27"/>
  <c r="C51" i="27"/>
  <c r="D51" i="27"/>
  <c r="E51" i="27"/>
  <c r="F51" i="27"/>
  <c r="A52" i="27"/>
  <c r="B52" i="27"/>
  <c r="C52" i="27"/>
  <c r="D52" i="27"/>
  <c r="E52" i="27"/>
  <c r="F52" i="27"/>
  <c r="A53" i="27"/>
  <c r="B53" i="27"/>
  <c r="C53" i="27"/>
  <c r="D53" i="27"/>
  <c r="E53" i="27"/>
  <c r="F53" i="27"/>
  <c r="A54" i="27"/>
  <c r="B54" i="27"/>
  <c r="C54" i="27"/>
  <c r="D54" i="27"/>
  <c r="E54" i="27"/>
  <c r="F54" i="27"/>
  <c r="A55" i="27"/>
  <c r="B55" i="27"/>
  <c r="C55" i="27"/>
  <c r="D55" i="27"/>
  <c r="E55" i="27"/>
  <c r="F55" i="27"/>
  <c r="A56" i="27"/>
  <c r="B56" i="27"/>
  <c r="C56" i="27"/>
  <c r="D56" i="27"/>
  <c r="E56" i="27"/>
  <c r="F56" i="27"/>
  <c r="A57" i="27"/>
  <c r="B57" i="27"/>
  <c r="C57" i="27"/>
  <c r="D57" i="27"/>
  <c r="E57" i="27"/>
  <c r="F57" i="27"/>
  <c r="A58" i="27"/>
  <c r="B58" i="27"/>
  <c r="C58" i="27"/>
  <c r="D58" i="27"/>
  <c r="E58" i="27"/>
  <c r="F58" i="27"/>
  <c r="A59" i="27"/>
  <c r="B59" i="27"/>
  <c r="C59" i="27"/>
  <c r="D59" i="27"/>
  <c r="E59" i="27"/>
  <c r="F59" i="27"/>
  <c r="A60" i="27"/>
  <c r="B60" i="27"/>
  <c r="C60" i="27"/>
  <c r="D60" i="27"/>
  <c r="E60" i="27"/>
  <c r="F60" i="27"/>
  <c r="A61" i="27"/>
  <c r="B61" i="27"/>
  <c r="C61" i="27"/>
  <c r="D61" i="27"/>
  <c r="E61" i="27"/>
  <c r="F61" i="27"/>
  <c r="A62" i="27"/>
  <c r="B62" i="27"/>
  <c r="C62" i="27"/>
  <c r="D62" i="27"/>
  <c r="E62" i="27"/>
  <c r="F62" i="27"/>
  <c r="A63" i="27"/>
  <c r="B63" i="27"/>
  <c r="C63" i="27"/>
  <c r="D63" i="27"/>
  <c r="E63" i="27"/>
  <c r="F63" i="27"/>
  <c r="A64" i="27"/>
  <c r="B64" i="27"/>
  <c r="C64" i="27"/>
  <c r="D64" i="27"/>
  <c r="E64" i="27"/>
  <c r="F64" i="27"/>
  <c r="A65" i="27"/>
  <c r="B65" i="27"/>
  <c r="C65" i="27"/>
  <c r="D65" i="27"/>
  <c r="E65" i="27"/>
  <c r="F65" i="27"/>
  <c r="A66" i="27"/>
  <c r="B66" i="27"/>
  <c r="C66" i="27"/>
  <c r="D66" i="27"/>
  <c r="E66" i="27"/>
  <c r="F66" i="27"/>
  <c r="A67" i="27"/>
  <c r="B67" i="27"/>
  <c r="C67" i="27"/>
  <c r="D67" i="27"/>
  <c r="E67" i="27"/>
  <c r="F67" i="27"/>
  <c r="A68" i="27"/>
  <c r="B68" i="27"/>
  <c r="C68" i="27"/>
  <c r="D68" i="27"/>
  <c r="E68" i="27"/>
  <c r="F68" i="27"/>
  <c r="A69" i="27"/>
  <c r="B69" i="27"/>
  <c r="C69" i="27"/>
  <c r="D69" i="27"/>
  <c r="E69" i="27"/>
  <c r="F69" i="27"/>
  <c r="A70" i="27"/>
  <c r="B70" i="27"/>
  <c r="C70" i="27"/>
  <c r="D70" i="27"/>
  <c r="E70" i="27"/>
  <c r="F70" i="27"/>
  <c r="A71" i="27"/>
  <c r="B71" i="27"/>
  <c r="C71" i="27"/>
  <c r="D71" i="27"/>
  <c r="E71" i="27"/>
  <c r="F71" i="27"/>
  <c r="A72" i="27"/>
  <c r="B72" i="27"/>
  <c r="C72" i="27"/>
  <c r="D72" i="27"/>
  <c r="E72" i="27"/>
  <c r="F72" i="27"/>
  <c r="A73" i="27"/>
  <c r="B73" i="27"/>
  <c r="C73" i="27"/>
  <c r="D73" i="27"/>
  <c r="E73" i="27"/>
  <c r="F73" i="27"/>
  <c r="A74" i="27"/>
  <c r="B74" i="27"/>
  <c r="C74" i="27"/>
  <c r="D74" i="27"/>
  <c r="E74" i="27"/>
  <c r="F74" i="27"/>
  <c r="A75" i="27"/>
  <c r="B75" i="27"/>
  <c r="C75" i="27"/>
  <c r="D75" i="27"/>
  <c r="E75" i="27"/>
  <c r="F75" i="27"/>
  <c r="A76" i="27"/>
  <c r="B76" i="27"/>
  <c r="C76" i="27"/>
  <c r="D76" i="27"/>
  <c r="E76" i="27"/>
  <c r="F76" i="27"/>
  <c r="A77" i="27"/>
  <c r="B77" i="27"/>
  <c r="C77" i="27"/>
  <c r="D77" i="27"/>
  <c r="E77" i="27"/>
  <c r="F77" i="27"/>
  <c r="A78" i="27"/>
  <c r="B78" i="27"/>
  <c r="C78" i="27"/>
  <c r="D78" i="27"/>
  <c r="E78" i="27"/>
  <c r="F78" i="27"/>
  <c r="A79" i="27"/>
  <c r="B79" i="27"/>
  <c r="C79" i="27"/>
  <c r="D79" i="27"/>
  <c r="E79" i="27"/>
  <c r="F79" i="27"/>
  <c r="A80" i="27"/>
  <c r="B80" i="27"/>
  <c r="C80" i="27"/>
  <c r="D80" i="27"/>
  <c r="E80" i="27"/>
  <c r="F80" i="27"/>
  <c r="A81" i="27"/>
  <c r="B81" i="27"/>
  <c r="C81" i="27"/>
  <c r="D81" i="27"/>
  <c r="E81" i="27"/>
  <c r="F81" i="27"/>
  <c r="A82" i="27"/>
  <c r="B82" i="27"/>
  <c r="C82" i="27"/>
  <c r="D82" i="27"/>
  <c r="E82" i="27"/>
  <c r="F82" i="27"/>
  <c r="A83" i="27"/>
  <c r="B83" i="27"/>
  <c r="C83" i="27"/>
  <c r="D83" i="27"/>
  <c r="E83" i="27"/>
  <c r="F83" i="27"/>
  <c r="A84" i="27"/>
  <c r="B84" i="27"/>
  <c r="C84" i="27"/>
  <c r="D84" i="27"/>
  <c r="E84" i="27"/>
  <c r="F84" i="27"/>
  <c r="A85" i="27"/>
  <c r="B85" i="27"/>
  <c r="C85" i="27"/>
  <c r="D85" i="27"/>
  <c r="E85" i="27"/>
  <c r="F85" i="27"/>
  <c r="A86" i="27"/>
  <c r="B86" i="27"/>
  <c r="C86" i="27"/>
  <c r="D86" i="27"/>
  <c r="E86" i="27"/>
  <c r="F86" i="27"/>
  <c r="A87" i="27"/>
  <c r="B87" i="27"/>
  <c r="C87" i="27"/>
  <c r="D87" i="27"/>
  <c r="E87" i="27"/>
  <c r="F87" i="27"/>
  <c r="A88" i="27"/>
  <c r="B88" i="27"/>
  <c r="C88" i="27"/>
  <c r="D88" i="27"/>
  <c r="E88" i="27"/>
  <c r="F88" i="27"/>
  <c r="A89" i="27"/>
  <c r="B89" i="27"/>
  <c r="C89" i="27"/>
  <c r="D89" i="27"/>
  <c r="E89" i="27"/>
  <c r="F89" i="27"/>
  <c r="A90" i="27"/>
  <c r="B90" i="27"/>
  <c r="C90" i="27"/>
  <c r="D90" i="27"/>
  <c r="E90" i="27"/>
  <c r="F90" i="27"/>
  <c r="A91" i="27"/>
  <c r="B91" i="27"/>
  <c r="C91" i="27"/>
  <c r="D91" i="27"/>
  <c r="E91" i="27"/>
  <c r="F91" i="27"/>
  <c r="A92" i="27"/>
  <c r="B92" i="27"/>
  <c r="C92" i="27"/>
  <c r="D92" i="27"/>
  <c r="E92" i="27"/>
  <c r="F92" i="27"/>
  <c r="A93" i="27"/>
  <c r="B93" i="27"/>
  <c r="C93" i="27"/>
  <c r="D93" i="27"/>
  <c r="E93" i="27"/>
  <c r="F93" i="27"/>
  <c r="A94" i="27"/>
  <c r="B94" i="27"/>
  <c r="C94" i="27"/>
  <c r="D94" i="27"/>
  <c r="E94" i="27"/>
  <c r="F94" i="27"/>
  <c r="A95" i="27"/>
  <c r="B95" i="27"/>
  <c r="C95" i="27"/>
  <c r="D95" i="27"/>
  <c r="E95" i="27"/>
  <c r="F95" i="27"/>
  <c r="A96" i="27"/>
  <c r="B96" i="27"/>
  <c r="C96" i="27"/>
  <c r="D96" i="27"/>
  <c r="E96" i="27"/>
  <c r="F96" i="27"/>
  <c r="A97" i="27"/>
  <c r="B97" i="27"/>
  <c r="C97" i="27"/>
  <c r="D97" i="27"/>
  <c r="E97" i="27"/>
  <c r="F97" i="27"/>
  <c r="A98" i="27"/>
  <c r="B98" i="27"/>
  <c r="C98" i="27"/>
  <c r="D98" i="27"/>
  <c r="E98" i="27"/>
  <c r="F98" i="27"/>
  <c r="A99" i="27"/>
  <c r="B99" i="27"/>
  <c r="C99" i="27"/>
  <c r="D99" i="27"/>
  <c r="E99" i="27"/>
  <c r="F99" i="27"/>
  <c r="A100" i="27"/>
  <c r="B100" i="27"/>
  <c r="C100" i="27"/>
  <c r="D100" i="27"/>
  <c r="E100" i="27"/>
  <c r="F100" i="27"/>
  <c r="A101" i="27"/>
  <c r="B101" i="27"/>
  <c r="C101" i="27"/>
  <c r="D101" i="27"/>
  <c r="E101" i="27"/>
  <c r="F101" i="27"/>
  <c r="A102" i="27"/>
  <c r="B102" i="27"/>
  <c r="C102" i="27"/>
  <c r="D102" i="27"/>
  <c r="E102" i="27"/>
  <c r="F102" i="27"/>
  <c r="A103" i="27"/>
  <c r="B103" i="27"/>
  <c r="C103" i="27"/>
  <c r="D103" i="27"/>
  <c r="E103" i="27"/>
  <c r="F103" i="27"/>
  <c r="A104" i="27"/>
  <c r="B104" i="27"/>
  <c r="C104" i="27"/>
  <c r="D104" i="27"/>
  <c r="E104" i="27"/>
  <c r="F104" i="27"/>
  <c r="A105" i="27"/>
  <c r="B105" i="27"/>
  <c r="C105" i="27"/>
  <c r="D105" i="27"/>
  <c r="E105" i="27"/>
  <c r="F105" i="27"/>
  <c r="A106" i="27"/>
  <c r="B106" i="27"/>
  <c r="C106" i="27"/>
  <c r="D106" i="27"/>
  <c r="E106" i="27"/>
  <c r="F106" i="27"/>
  <c r="A107" i="27"/>
  <c r="B107" i="27"/>
  <c r="C107" i="27"/>
  <c r="D107" i="27"/>
  <c r="E107" i="27"/>
  <c r="F107" i="27"/>
  <c r="A108" i="27"/>
  <c r="B108" i="27"/>
  <c r="C108" i="27"/>
  <c r="D108" i="27"/>
  <c r="E108" i="27"/>
  <c r="F108" i="27"/>
  <c r="A109" i="27"/>
  <c r="B109" i="27"/>
  <c r="C109" i="27"/>
  <c r="D109" i="27"/>
  <c r="E109" i="27"/>
  <c r="F109" i="27"/>
  <c r="A110" i="27"/>
  <c r="B110" i="27"/>
  <c r="C110" i="27"/>
  <c r="D110" i="27"/>
  <c r="E110" i="27"/>
  <c r="F110" i="27"/>
  <c r="A111" i="27"/>
  <c r="B111" i="27"/>
  <c r="C111" i="27"/>
  <c r="D111" i="27"/>
  <c r="E111" i="27"/>
  <c r="F111" i="27"/>
  <c r="A112" i="27"/>
  <c r="B112" i="27"/>
  <c r="C112" i="27"/>
  <c r="D112" i="27"/>
  <c r="E112" i="27"/>
  <c r="F112" i="27"/>
  <c r="A113" i="27"/>
  <c r="B113" i="27"/>
  <c r="C113" i="27"/>
  <c r="D113" i="27"/>
  <c r="E113" i="27"/>
  <c r="F113" i="27"/>
  <c r="A114" i="27"/>
  <c r="B114" i="27"/>
  <c r="C114" i="27"/>
  <c r="D114" i="27"/>
  <c r="E114" i="27"/>
  <c r="F114" i="27"/>
  <c r="A115" i="27"/>
  <c r="B115" i="27"/>
  <c r="C115" i="27"/>
  <c r="D115" i="27"/>
  <c r="E115" i="27"/>
  <c r="F115" i="27"/>
  <c r="A116" i="27"/>
  <c r="B116" i="27"/>
  <c r="C116" i="27"/>
  <c r="D116" i="27"/>
  <c r="E116" i="27"/>
  <c r="F116" i="27"/>
  <c r="A117" i="27"/>
  <c r="B117" i="27"/>
  <c r="C117" i="27"/>
  <c r="D117" i="27"/>
  <c r="E117" i="27"/>
  <c r="F117" i="27"/>
  <c r="A118" i="27"/>
  <c r="B118" i="27"/>
  <c r="C118" i="27"/>
  <c r="D118" i="27"/>
  <c r="E118" i="27"/>
  <c r="F118" i="27"/>
  <c r="A119" i="27"/>
  <c r="B119" i="27"/>
  <c r="C119" i="27"/>
  <c r="D119" i="27"/>
  <c r="E119" i="27"/>
  <c r="F119" i="27"/>
  <c r="A120" i="27"/>
  <c r="B120" i="27"/>
  <c r="C120" i="27"/>
  <c r="D120" i="27"/>
  <c r="E120" i="27"/>
  <c r="F120" i="27"/>
  <c r="A121" i="27"/>
  <c r="B121" i="27"/>
  <c r="C121" i="27"/>
  <c r="D121" i="27"/>
  <c r="E121" i="27"/>
  <c r="F121" i="27"/>
  <c r="A122" i="27"/>
  <c r="B122" i="27"/>
  <c r="C122" i="27"/>
  <c r="D122" i="27"/>
  <c r="E122" i="27"/>
  <c r="F122" i="27"/>
  <c r="A123" i="27"/>
  <c r="B123" i="27"/>
  <c r="C123" i="27"/>
  <c r="D123" i="27"/>
  <c r="E123" i="27"/>
  <c r="F123" i="27"/>
  <c r="A124" i="27"/>
  <c r="B124" i="27"/>
  <c r="C124" i="27"/>
  <c r="D124" i="27"/>
  <c r="E124" i="27"/>
  <c r="F124" i="27"/>
  <c r="A125" i="27"/>
  <c r="B125" i="27"/>
  <c r="C125" i="27"/>
  <c r="D125" i="27"/>
  <c r="E125" i="27"/>
  <c r="F125" i="27"/>
  <c r="A126" i="27"/>
  <c r="B126" i="27"/>
  <c r="C126" i="27"/>
  <c r="D126" i="27"/>
  <c r="E126" i="27"/>
  <c r="F126" i="27"/>
  <c r="A127" i="27"/>
  <c r="B127" i="27"/>
  <c r="C127" i="27"/>
  <c r="D127" i="27"/>
  <c r="E127" i="27"/>
  <c r="F127" i="27"/>
  <c r="A128" i="27"/>
  <c r="B128" i="27"/>
  <c r="C128" i="27"/>
  <c r="D128" i="27"/>
  <c r="E128" i="27"/>
  <c r="F128" i="27"/>
  <c r="A129" i="27"/>
  <c r="B129" i="27"/>
  <c r="C129" i="27"/>
  <c r="D129" i="27"/>
  <c r="E129" i="27"/>
  <c r="F129" i="27"/>
  <c r="A130" i="27"/>
  <c r="B130" i="27"/>
  <c r="C130" i="27"/>
  <c r="D130" i="27"/>
  <c r="E130" i="27"/>
  <c r="F130" i="27"/>
  <c r="A131" i="27"/>
  <c r="B131" i="27"/>
  <c r="C131" i="27"/>
  <c r="D131" i="27"/>
  <c r="E131" i="27"/>
  <c r="F131" i="27"/>
  <c r="A132" i="27"/>
  <c r="B132" i="27"/>
  <c r="C132" i="27"/>
  <c r="D132" i="27"/>
  <c r="E132" i="27"/>
  <c r="F132" i="27"/>
  <c r="A133" i="27"/>
  <c r="B133" i="27"/>
  <c r="C133" i="27"/>
  <c r="D133" i="27"/>
  <c r="E133" i="27"/>
  <c r="F133" i="27"/>
  <c r="A134" i="27"/>
  <c r="B134" i="27"/>
  <c r="C134" i="27"/>
  <c r="D134" i="27"/>
  <c r="E134" i="27"/>
  <c r="F134" i="27"/>
  <c r="A135" i="27"/>
  <c r="B135" i="27"/>
  <c r="C135" i="27"/>
  <c r="D135" i="27"/>
  <c r="E135" i="27"/>
  <c r="F135" i="27"/>
  <c r="A136" i="27"/>
  <c r="B136" i="27"/>
  <c r="C136" i="27"/>
  <c r="D136" i="27"/>
  <c r="E136" i="27"/>
  <c r="F136" i="27"/>
  <c r="A137" i="27"/>
  <c r="B137" i="27"/>
  <c r="C137" i="27"/>
  <c r="D137" i="27"/>
  <c r="E137" i="27"/>
  <c r="F137" i="27"/>
  <c r="A138" i="27"/>
  <c r="B138" i="27"/>
  <c r="C138" i="27"/>
  <c r="D138" i="27"/>
  <c r="E138" i="27"/>
  <c r="F138" i="27"/>
  <c r="A139" i="27"/>
  <c r="B139" i="27"/>
  <c r="C139" i="27"/>
  <c r="D139" i="27"/>
  <c r="E139" i="27"/>
  <c r="F139" i="27"/>
  <c r="A140" i="27"/>
  <c r="B140" i="27"/>
  <c r="C140" i="27"/>
  <c r="D140" i="27"/>
  <c r="E140" i="27"/>
  <c r="F140" i="27"/>
  <c r="A141" i="27"/>
  <c r="B141" i="27"/>
  <c r="C141" i="27"/>
  <c r="D141" i="27"/>
  <c r="E141" i="27"/>
  <c r="F141" i="27"/>
  <c r="A142" i="27"/>
  <c r="B142" i="27"/>
  <c r="C142" i="27"/>
  <c r="D142" i="27"/>
  <c r="E142" i="27"/>
  <c r="F142" i="27"/>
  <c r="A143" i="27"/>
  <c r="B143" i="27"/>
  <c r="C143" i="27"/>
  <c r="D143" i="27"/>
  <c r="E143" i="27"/>
  <c r="F143" i="27"/>
  <c r="A144" i="27"/>
  <c r="B144" i="27"/>
  <c r="C144" i="27"/>
  <c r="D144" i="27"/>
  <c r="E144" i="27"/>
  <c r="F144" i="27"/>
  <c r="A145" i="27"/>
  <c r="B145" i="27"/>
  <c r="C145" i="27"/>
  <c r="D145" i="27"/>
  <c r="E145" i="27"/>
  <c r="F145" i="27"/>
  <c r="A146" i="27"/>
  <c r="B146" i="27"/>
  <c r="C146" i="27"/>
  <c r="D146" i="27"/>
  <c r="E146" i="27"/>
  <c r="F146" i="27"/>
  <c r="A147" i="27"/>
  <c r="B147" i="27"/>
  <c r="C147" i="27"/>
  <c r="D147" i="27"/>
  <c r="E147" i="27"/>
  <c r="F147" i="27"/>
  <c r="A148" i="27"/>
  <c r="B148" i="27"/>
  <c r="C148" i="27"/>
  <c r="D148" i="27"/>
  <c r="E148" i="27"/>
  <c r="F148" i="27"/>
  <c r="A149" i="27"/>
  <c r="B149" i="27"/>
  <c r="C149" i="27"/>
  <c r="D149" i="27"/>
  <c r="E149" i="27"/>
  <c r="F149" i="27"/>
  <c r="A150" i="27"/>
  <c r="B150" i="27"/>
  <c r="C150" i="27"/>
  <c r="D150" i="27"/>
  <c r="E150" i="27"/>
  <c r="F150" i="27"/>
  <c r="A151" i="27"/>
  <c r="B151" i="27"/>
  <c r="C151" i="27"/>
  <c r="D151" i="27"/>
  <c r="E151" i="27"/>
  <c r="F151" i="27"/>
  <c r="A152" i="27"/>
  <c r="B152" i="27"/>
  <c r="C152" i="27"/>
  <c r="D152" i="27"/>
  <c r="E152" i="27"/>
  <c r="F152" i="27"/>
  <c r="A153" i="27"/>
  <c r="B153" i="27"/>
  <c r="C153" i="27"/>
  <c r="D153" i="27"/>
  <c r="E153" i="27"/>
  <c r="F153" i="27"/>
  <c r="A154" i="27"/>
  <c r="B154" i="27"/>
  <c r="C154" i="27"/>
  <c r="D154" i="27"/>
  <c r="E154" i="27"/>
  <c r="F154" i="27"/>
  <c r="A155" i="27"/>
  <c r="B155" i="27"/>
  <c r="C155" i="27"/>
  <c r="D155" i="27"/>
  <c r="E155" i="27"/>
  <c r="F155" i="27"/>
  <c r="A156" i="27"/>
  <c r="B156" i="27"/>
  <c r="C156" i="27"/>
  <c r="D156" i="27"/>
  <c r="E156" i="27"/>
  <c r="F156" i="27"/>
  <c r="A157" i="27"/>
  <c r="B157" i="27"/>
  <c r="C157" i="27"/>
  <c r="D157" i="27"/>
  <c r="E157" i="27"/>
  <c r="F157" i="27"/>
  <c r="A158" i="27"/>
  <c r="B158" i="27"/>
  <c r="C158" i="27"/>
  <c r="D158" i="27"/>
  <c r="E158" i="27"/>
  <c r="F158" i="27"/>
  <c r="A159" i="27"/>
  <c r="B159" i="27"/>
  <c r="C159" i="27"/>
  <c r="D159" i="27"/>
  <c r="E159" i="27"/>
  <c r="F159" i="27"/>
  <c r="A160" i="27"/>
  <c r="B160" i="27"/>
  <c r="C160" i="27"/>
  <c r="D160" i="27"/>
  <c r="E160" i="27"/>
  <c r="F160" i="27"/>
  <c r="A161" i="27"/>
  <c r="B161" i="27"/>
  <c r="C161" i="27"/>
  <c r="D161" i="27"/>
  <c r="E161" i="27"/>
  <c r="F161" i="27"/>
  <c r="A162" i="27"/>
  <c r="B162" i="27"/>
  <c r="C162" i="27"/>
  <c r="D162" i="27"/>
  <c r="E162" i="27"/>
  <c r="F162" i="27"/>
  <c r="A163" i="27"/>
  <c r="B163" i="27"/>
  <c r="C163" i="27"/>
  <c r="D163" i="27"/>
  <c r="E163" i="27"/>
  <c r="F163" i="27"/>
  <c r="A164" i="27"/>
  <c r="B164" i="27"/>
  <c r="C164" i="27"/>
  <c r="D164" i="27"/>
  <c r="E164" i="27"/>
  <c r="F164" i="27"/>
  <c r="A165" i="27"/>
  <c r="B165" i="27"/>
  <c r="C165" i="27"/>
  <c r="D165" i="27"/>
  <c r="E165" i="27"/>
  <c r="F165" i="27"/>
  <c r="A166" i="27"/>
  <c r="B166" i="27"/>
  <c r="C166" i="27"/>
  <c r="D166" i="27"/>
  <c r="E166" i="27"/>
  <c r="F166" i="27"/>
  <c r="A167" i="27"/>
  <c r="B167" i="27"/>
  <c r="C167" i="27"/>
  <c r="D167" i="27"/>
  <c r="E167" i="27"/>
  <c r="F167" i="27"/>
  <c r="A168" i="27"/>
  <c r="B168" i="27"/>
  <c r="C168" i="27"/>
  <c r="D168" i="27"/>
  <c r="E168" i="27"/>
  <c r="F168" i="27"/>
  <c r="A169" i="27"/>
  <c r="B169" i="27"/>
  <c r="C169" i="27"/>
  <c r="D169" i="27"/>
  <c r="E169" i="27"/>
  <c r="F169" i="27"/>
  <c r="A170" i="27"/>
  <c r="B170" i="27"/>
  <c r="C170" i="27"/>
  <c r="D170" i="27"/>
  <c r="E170" i="27"/>
  <c r="F170" i="27"/>
  <c r="A171" i="27"/>
  <c r="B171" i="27"/>
  <c r="C171" i="27"/>
  <c r="D171" i="27"/>
  <c r="E171" i="27"/>
  <c r="F171" i="27"/>
  <c r="A172" i="27"/>
  <c r="B172" i="27"/>
  <c r="C172" i="27"/>
  <c r="D172" i="27"/>
  <c r="E172" i="27"/>
  <c r="F172" i="27"/>
  <c r="A173" i="27"/>
  <c r="B173" i="27"/>
  <c r="C173" i="27"/>
  <c r="D173" i="27"/>
  <c r="E173" i="27"/>
  <c r="F173" i="27"/>
  <c r="A174" i="27"/>
  <c r="B174" i="27"/>
  <c r="C174" i="27"/>
  <c r="D174" i="27"/>
  <c r="E174" i="27"/>
  <c r="F174" i="27"/>
  <c r="A175" i="27"/>
  <c r="B175" i="27"/>
  <c r="C175" i="27"/>
  <c r="D175" i="27"/>
  <c r="E175" i="27"/>
  <c r="F175" i="27"/>
  <c r="A176" i="27"/>
  <c r="B176" i="27"/>
  <c r="C176" i="27"/>
  <c r="D176" i="27"/>
  <c r="E176" i="27"/>
  <c r="F176" i="27"/>
  <c r="A177" i="27"/>
  <c r="B177" i="27"/>
  <c r="C177" i="27"/>
  <c r="D177" i="27"/>
  <c r="E177" i="27"/>
  <c r="F177" i="27"/>
  <c r="A178" i="27"/>
  <c r="B178" i="27"/>
  <c r="C178" i="27"/>
  <c r="D178" i="27"/>
  <c r="E178" i="27"/>
  <c r="F178" i="27"/>
  <c r="A179" i="27"/>
  <c r="B179" i="27"/>
  <c r="C179" i="27"/>
  <c r="D179" i="27"/>
  <c r="E179" i="27"/>
  <c r="F179" i="27"/>
  <c r="A180" i="27"/>
  <c r="B180" i="27"/>
  <c r="C180" i="27"/>
  <c r="D180" i="27"/>
  <c r="E180" i="27"/>
  <c r="F180" i="27"/>
  <c r="A181" i="27"/>
  <c r="B181" i="27"/>
  <c r="C181" i="27"/>
  <c r="D181" i="27"/>
  <c r="E181" i="27"/>
  <c r="F181" i="27"/>
  <c r="A182" i="27"/>
  <c r="B182" i="27"/>
  <c r="C182" i="27"/>
  <c r="D182" i="27"/>
  <c r="E182" i="27"/>
  <c r="F182" i="27"/>
  <c r="A183" i="27"/>
  <c r="B183" i="27"/>
  <c r="C183" i="27"/>
  <c r="D183" i="27"/>
  <c r="E183" i="27"/>
  <c r="F183" i="27"/>
  <c r="A184" i="27"/>
  <c r="B184" i="27"/>
  <c r="C184" i="27"/>
  <c r="D184" i="27"/>
  <c r="E184" i="27"/>
  <c r="F184" i="27"/>
  <c r="A185" i="27"/>
  <c r="B185" i="27"/>
  <c r="C185" i="27"/>
  <c r="D185" i="27"/>
  <c r="E185" i="27"/>
  <c r="F185" i="27"/>
  <c r="A186" i="27"/>
  <c r="B186" i="27"/>
  <c r="C186" i="27"/>
  <c r="D186" i="27"/>
  <c r="E186" i="27"/>
  <c r="F186" i="27"/>
  <c r="A187" i="27"/>
  <c r="B187" i="27"/>
  <c r="C187" i="27"/>
  <c r="D187" i="27"/>
  <c r="E187" i="27"/>
  <c r="F187" i="27"/>
  <c r="A188" i="27"/>
  <c r="B188" i="27"/>
  <c r="C188" i="27"/>
  <c r="D188" i="27"/>
  <c r="E188" i="27"/>
  <c r="F188" i="27"/>
  <c r="A189" i="27"/>
  <c r="B189" i="27"/>
  <c r="C189" i="27"/>
  <c r="D189" i="27"/>
  <c r="E189" i="27"/>
  <c r="F189" i="27"/>
  <c r="A190" i="27"/>
  <c r="B190" i="27"/>
  <c r="C190" i="27"/>
  <c r="D190" i="27"/>
  <c r="E190" i="27"/>
  <c r="F190" i="27"/>
  <c r="A191" i="27"/>
  <c r="B191" i="27"/>
  <c r="C191" i="27"/>
  <c r="D191" i="27"/>
  <c r="E191" i="27"/>
  <c r="F191" i="27"/>
  <c r="A192" i="27"/>
  <c r="B192" i="27"/>
  <c r="C192" i="27"/>
  <c r="D192" i="27"/>
  <c r="E192" i="27"/>
  <c r="F192" i="27"/>
  <c r="A193" i="27"/>
  <c r="B193" i="27"/>
  <c r="C193" i="27"/>
  <c r="D193" i="27"/>
  <c r="E193" i="27"/>
  <c r="F193" i="27"/>
  <c r="A194" i="27"/>
  <c r="B194" i="27"/>
  <c r="C194" i="27"/>
  <c r="D194" i="27"/>
  <c r="E194" i="27"/>
  <c r="F194" i="27"/>
  <c r="A195" i="27"/>
  <c r="B195" i="27"/>
  <c r="C195" i="27"/>
  <c r="D195" i="27"/>
  <c r="E195" i="27"/>
  <c r="F195" i="27"/>
  <c r="A196" i="27"/>
  <c r="B196" i="27"/>
  <c r="C196" i="27"/>
  <c r="D196" i="27"/>
  <c r="E196" i="27"/>
  <c r="F196" i="27"/>
  <c r="A197" i="27"/>
  <c r="B197" i="27"/>
  <c r="C197" i="27"/>
  <c r="D197" i="27"/>
  <c r="E197" i="27"/>
  <c r="F197" i="27"/>
  <c r="A198" i="27"/>
  <c r="B198" i="27"/>
  <c r="C198" i="27"/>
  <c r="D198" i="27"/>
  <c r="E198" i="27"/>
  <c r="F198" i="27"/>
  <c r="A199" i="27"/>
  <c r="B199" i="27"/>
  <c r="C199" i="27"/>
  <c r="D199" i="27"/>
  <c r="E199" i="27"/>
  <c r="F199" i="27"/>
  <c r="A200" i="27"/>
  <c r="B200" i="27"/>
  <c r="C200" i="27"/>
  <c r="D200" i="27"/>
  <c r="E200" i="27"/>
  <c r="F200" i="27"/>
  <c r="A201" i="27"/>
  <c r="B201" i="27"/>
  <c r="C201" i="27"/>
  <c r="D201" i="27"/>
  <c r="E201" i="27"/>
  <c r="F201" i="27"/>
  <c r="A202" i="27"/>
  <c r="B202" i="27"/>
  <c r="C202" i="27"/>
  <c r="D202" i="27"/>
  <c r="E202" i="27"/>
  <c r="F202" i="27"/>
  <c r="A203" i="27"/>
  <c r="B203" i="27"/>
  <c r="C203" i="27"/>
  <c r="D203" i="27"/>
  <c r="E203" i="27"/>
  <c r="F203" i="27"/>
  <c r="A204" i="27"/>
  <c r="B204" i="27"/>
  <c r="C204" i="27"/>
  <c r="D204" i="27"/>
  <c r="E204" i="27"/>
  <c r="F204" i="27"/>
  <c r="A205" i="27"/>
  <c r="B205" i="27"/>
  <c r="C205" i="27"/>
  <c r="D205" i="27"/>
  <c r="E205" i="27"/>
  <c r="F205" i="27"/>
  <c r="A206" i="27"/>
  <c r="B206" i="27"/>
  <c r="C206" i="27"/>
  <c r="D206" i="27"/>
  <c r="E206" i="27"/>
  <c r="F206" i="27"/>
  <c r="A207" i="27"/>
  <c r="B207" i="27"/>
  <c r="C207" i="27"/>
  <c r="D207" i="27"/>
  <c r="E207" i="27"/>
  <c r="F207" i="27"/>
  <c r="A208" i="27"/>
  <c r="B208" i="27"/>
  <c r="C208" i="27"/>
  <c r="D208" i="27"/>
  <c r="E208" i="27"/>
  <c r="F208" i="27"/>
  <c r="A209" i="27"/>
  <c r="B209" i="27"/>
  <c r="C209" i="27"/>
  <c r="D209" i="27"/>
  <c r="E209" i="27"/>
  <c r="F209" i="27"/>
  <c r="A210" i="27"/>
  <c r="B210" i="27"/>
  <c r="C210" i="27"/>
  <c r="D210" i="27"/>
  <c r="E210" i="27"/>
  <c r="F210" i="27"/>
  <c r="A211" i="27"/>
  <c r="B211" i="27"/>
  <c r="C211" i="27"/>
  <c r="D211" i="27"/>
  <c r="E211" i="27"/>
  <c r="F211" i="27"/>
  <c r="A212" i="27"/>
  <c r="B212" i="27"/>
  <c r="C212" i="27"/>
  <c r="D212" i="27"/>
  <c r="E212" i="27"/>
  <c r="F212" i="27"/>
  <c r="A213" i="27"/>
  <c r="B213" i="27"/>
  <c r="C213" i="27"/>
  <c r="D213" i="27"/>
  <c r="E213" i="27"/>
  <c r="F213" i="27"/>
  <c r="A214" i="27"/>
  <c r="B214" i="27"/>
  <c r="C214" i="27"/>
  <c r="D214" i="27"/>
  <c r="E214" i="27"/>
  <c r="F214" i="27"/>
  <c r="A215" i="27"/>
  <c r="B215" i="27"/>
  <c r="C215" i="27"/>
  <c r="D215" i="27"/>
  <c r="E215" i="27"/>
  <c r="F215" i="27"/>
  <c r="A216" i="27"/>
  <c r="B216" i="27"/>
  <c r="C216" i="27"/>
  <c r="D216" i="27"/>
  <c r="E216" i="27"/>
  <c r="F216" i="27"/>
  <c r="A217" i="27"/>
  <c r="B217" i="27"/>
  <c r="C217" i="27"/>
  <c r="D217" i="27"/>
  <c r="E217" i="27"/>
  <c r="F217" i="27"/>
  <c r="A218" i="27"/>
  <c r="B218" i="27"/>
  <c r="C218" i="27"/>
  <c r="D218" i="27"/>
  <c r="E218" i="27"/>
  <c r="F218" i="27"/>
  <c r="A219" i="27"/>
  <c r="B219" i="27"/>
  <c r="C219" i="27"/>
  <c r="D219" i="27"/>
  <c r="E219" i="27"/>
  <c r="F219" i="27"/>
  <c r="A220" i="27"/>
  <c r="B220" i="27"/>
  <c r="C220" i="27"/>
  <c r="D220" i="27"/>
  <c r="E220" i="27"/>
  <c r="F220" i="27"/>
  <c r="A221" i="27"/>
  <c r="B221" i="27"/>
  <c r="C221" i="27"/>
  <c r="D221" i="27"/>
  <c r="E221" i="27"/>
  <c r="F221" i="27"/>
  <c r="A222" i="27"/>
  <c r="B222" i="27"/>
  <c r="C222" i="27"/>
  <c r="D222" i="27"/>
  <c r="E222" i="27"/>
  <c r="F222" i="27"/>
  <c r="A223" i="27"/>
  <c r="B223" i="27"/>
  <c r="C223" i="27"/>
  <c r="D223" i="27"/>
  <c r="E223" i="27"/>
  <c r="F223" i="27"/>
  <c r="F2" i="27"/>
  <c r="E2" i="27"/>
  <c r="D2" i="27"/>
  <c r="C2" i="27"/>
  <c r="B2" i="27"/>
  <c r="A2" i="27"/>
  <c r="P1" i="27"/>
  <c r="O1" i="27"/>
  <c r="N1" i="27"/>
  <c r="M1" i="27"/>
  <c r="AH481" i="21"/>
  <c r="AI481" i="21"/>
  <c r="L1" i="27"/>
  <c r="K1" i="27"/>
  <c r="J1" i="27"/>
  <c r="I1" i="27"/>
  <c r="H1" i="27"/>
  <c r="G1" i="27"/>
  <c r="AG72" i="21"/>
  <c r="AG251" i="21"/>
  <c r="AG419" i="21"/>
  <c r="AG445" i="21"/>
  <c r="AG182" i="21"/>
  <c r="AG220" i="21"/>
  <c r="AG171" i="21"/>
  <c r="AH121" i="21"/>
  <c r="AH214" i="21"/>
  <c r="AI214" i="21"/>
  <c r="AH38" i="21"/>
  <c r="AH381" i="21"/>
  <c r="AH213" i="21"/>
  <c r="AH45" i="21"/>
  <c r="AH355" i="21"/>
  <c r="AH211" i="21"/>
  <c r="AH218" i="21"/>
  <c r="AJ218" i="21"/>
  <c r="AH74" i="21"/>
  <c r="AG209" i="21"/>
  <c r="AG85" i="21"/>
  <c r="AG192" i="21"/>
  <c r="AG180" i="21"/>
  <c r="AG203" i="21"/>
  <c r="AG408" i="21"/>
  <c r="AG254" i="21"/>
  <c r="AG352" i="21"/>
  <c r="AG52" i="21"/>
  <c r="AG184" i="21"/>
  <c r="AG487" i="21"/>
  <c r="AG398" i="21"/>
  <c r="AG496" i="21"/>
  <c r="AG236" i="21"/>
  <c r="AG386" i="21"/>
  <c r="AG144" i="21"/>
  <c r="AG429" i="21"/>
  <c r="AG470" i="21"/>
  <c r="AG240" i="21"/>
  <c r="AG122" i="21"/>
  <c r="AG22" i="21"/>
  <c r="AG449" i="21"/>
  <c r="AG433" i="21"/>
  <c r="AG10" i="21"/>
  <c r="AG37" i="21"/>
  <c r="AG364" i="21"/>
  <c r="AG257" i="21"/>
  <c r="AG76" i="21"/>
  <c r="AG404" i="21"/>
  <c r="AG357" i="21"/>
  <c r="AG313" i="21"/>
  <c r="AG189" i="21"/>
  <c r="AG179" i="21"/>
  <c r="AG402" i="21"/>
  <c r="AG405" i="21"/>
  <c r="AG98" i="21"/>
  <c r="AG63" i="21"/>
  <c r="AG420" i="21"/>
  <c r="AG327" i="21"/>
  <c r="AG354" i="21"/>
  <c r="AG183" i="21"/>
  <c r="AG154" i="21"/>
  <c r="AG410" i="21"/>
  <c r="AG260" i="21"/>
  <c r="AG124" i="21"/>
  <c r="AG492" i="21"/>
  <c r="AG342" i="21"/>
  <c r="AG431" i="21"/>
  <c r="AG319" i="21"/>
  <c r="AG286" i="21"/>
  <c r="AG270" i="21"/>
  <c r="AG263" i="21"/>
  <c r="AG6" i="21"/>
  <c r="AG322" i="21"/>
  <c r="AG150" i="21"/>
  <c r="AG102" i="21"/>
  <c r="AG218" i="21"/>
  <c r="AG2" i="21"/>
  <c r="AG361" i="21"/>
  <c r="AG440" i="21"/>
  <c r="AG207" i="21"/>
  <c r="AG169" i="21"/>
  <c r="AG193" i="21"/>
  <c r="AG412" i="21"/>
  <c r="AG163" i="21"/>
  <c r="AG481" i="21"/>
  <c r="AG268" i="21"/>
  <c r="AG347" i="21"/>
  <c r="AG344" i="21"/>
  <c r="AG164" i="21"/>
  <c r="AG132" i="21"/>
  <c r="AG103" i="21"/>
  <c r="AG77" i="21"/>
  <c r="AG12" i="21"/>
  <c r="AG334" i="21"/>
  <c r="AG387" i="21"/>
  <c r="AG311" i="21"/>
  <c r="AG88" i="21"/>
  <c r="AG44" i="21"/>
  <c r="AG316" i="21"/>
  <c r="AG281" i="21"/>
  <c r="AG427" i="21"/>
  <c r="AG315" i="21"/>
  <c r="AG474" i="21"/>
  <c r="AG390" i="21"/>
  <c r="AG279" i="21"/>
  <c r="AG308" i="21"/>
  <c r="AG417" i="21"/>
  <c r="AG421" i="21"/>
  <c r="AG456" i="21"/>
  <c r="AG106" i="21"/>
  <c r="AG306" i="21"/>
  <c r="AJ214" i="21"/>
  <c r="AI218" i="21"/>
  <c r="AJ481" i="21"/>
  <c r="AI213" i="21"/>
  <c r="AJ213" i="21"/>
  <c r="AL218" i="21"/>
  <c r="AK218" i="21"/>
  <c r="AK481" i="21"/>
  <c r="AL481" i="21"/>
  <c r="AN211" i="21"/>
  <c r="AN215" i="21"/>
  <c r="AN216" i="21"/>
  <c r="F216" i="29"/>
  <c r="AN198" i="21"/>
  <c r="AN221" i="21"/>
  <c r="AN214" i="21"/>
  <c r="AN203" i="21"/>
  <c r="AN207" i="21"/>
  <c r="F207" i="29"/>
  <c r="AN194" i="21"/>
  <c r="AN205" i="21"/>
  <c r="F205" i="29"/>
  <c r="AN199" i="21"/>
  <c r="AN219" i="21"/>
  <c r="F219" i="29"/>
  <c r="AN192" i="21"/>
  <c r="AN195" i="21"/>
  <c r="F195" i="29"/>
  <c r="AN210" i="21"/>
  <c r="AN196" i="21"/>
  <c r="AN212" i="21"/>
  <c r="AN193" i="21"/>
  <c r="AN208" i="21"/>
  <c r="AN222" i="21"/>
  <c r="F222" i="29"/>
  <c r="AN197" i="21"/>
  <c r="AN201" i="21"/>
  <c r="AN220" i="21"/>
  <c r="AN189" i="21"/>
  <c r="AN218" i="21"/>
  <c r="AN191" i="21"/>
  <c r="AN206" i="21"/>
  <c r="AN202" i="21"/>
  <c r="F202" i="29"/>
  <c r="AN204" i="21"/>
  <c r="F204" i="29"/>
  <c r="AN190" i="21"/>
  <c r="AN209" i="21"/>
  <c r="AN213" i="21"/>
  <c r="AN200" i="21"/>
  <c r="AN217" i="21"/>
  <c r="AN223" i="21"/>
  <c r="F223" i="29"/>
  <c r="F192" i="29"/>
  <c r="F213" i="29"/>
  <c r="F201" i="29"/>
  <c r="F209" i="29"/>
  <c r="F199" i="29"/>
  <c r="F212" i="29"/>
  <c r="F221" i="29"/>
  <c r="F215" i="29"/>
  <c r="F196" i="29"/>
  <c r="F203" i="29"/>
  <c r="F206" i="29"/>
  <c r="F208" i="29"/>
  <c r="F189" i="29"/>
  <c r="F211" i="29"/>
  <c r="F193" i="29"/>
  <c r="F200" i="29"/>
  <c r="F218" i="29"/>
  <c r="F191" i="29"/>
  <c r="F194" i="29"/>
  <c r="F198" i="29"/>
  <c r="F197" i="29"/>
  <c r="F220" i="29"/>
  <c r="F217" i="29"/>
  <c r="F190" i="29"/>
  <c r="F210" i="29"/>
  <c r="F214" i="29"/>
  <c r="AI45" i="21"/>
  <c r="AJ45" i="21"/>
  <c r="AI211" i="21"/>
  <c r="AJ211" i="21"/>
  <c r="AJ381" i="21"/>
  <c r="AI381" i="21"/>
  <c r="AI355" i="21"/>
  <c r="AJ355" i="21"/>
  <c r="AH8" i="21"/>
  <c r="AH202" i="21"/>
  <c r="AH154" i="21"/>
  <c r="AH162" i="21"/>
  <c r="AH243" i="21"/>
  <c r="AH395" i="21"/>
  <c r="AH458" i="21"/>
  <c r="AH140" i="21"/>
  <c r="AH308" i="21"/>
  <c r="AH460" i="21"/>
  <c r="AH85" i="21"/>
  <c r="AH261" i="21"/>
  <c r="AH421" i="21"/>
  <c r="AH78" i="21"/>
  <c r="AH239" i="21"/>
  <c r="AH57" i="21"/>
  <c r="AH426" i="21"/>
  <c r="AH298" i="21"/>
  <c r="AH194" i="21"/>
  <c r="AH267" i="21"/>
  <c r="AH411" i="21"/>
  <c r="AH12" i="21"/>
  <c r="AH324" i="21"/>
  <c r="AH109" i="21"/>
  <c r="AH271" i="21"/>
  <c r="AH257" i="21"/>
  <c r="AH81" i="21"/>
  <c r="AH56" i="21"/>
  <c r="AH64" i="21"/>
  <c r="AH131" i="21"/>
  <c r="AH283" i="21"/>
  <c r="AH427" i="21"/>
  <c r="AH28" i="21"/>
  <c r="AH500" i="21"/>
  <c r="AH133" i="21"/>
  <c r="AH301" i="21"/>
  <c r="AH461" i="21"/>
  <c r="AH126" i="21"/>
  <c r="AH326" i="21"/>
  <c r="AH337" i="21"/>
  <c r="AH144" i="21"/>
  <c r="AH120" i="21"/>
  <c r="AH3" i="21"/>
  <c r="AH451" i="21"/>
  <c r="AH44" i="21"/>
  <c r="AH485" i="21"/>
  <c r="AH142" i="21"/>
  <c r="AH55" i="21"/>
  <c r="AH322" i="21"/>
  <c r="AH176" i="21"/>
  <c r="AH226" i="21"/>
  <c r="AH192" i="21"/>
  <c r="AH19" i="21"/>
  <c r="AH179" i="21"/>
  <c r="AH459" i="21"/>
  <c r="AH68" i="21"/>
  <c r="AH220" i="21"/>
  <c r="AH380" i="21"/>
  <c r="AH173" i="21"/>
  <c r="AH382" i="21"/>
  <c r="AH415" i="21"/>
  <c r="AH449" i="21"/>
  <c r="AH290" i="21"/>
  <c r="AH187" i="21"/>
  <c r="AH483" i="21"/>
  <c r="AH252" i="21"/>
  <c r="AH189" i="21"/>
  <c r="AH190" i="21"/>
  <c r="AH127" i="21"/>
  <c r="AH439" i="21"/>
  <c r="AH41" i="21"/>
  <c r="AH443" i="21"/>
  <c r="AH339" i="21"/>
  <c r="AH219" i="21"/>
  <c r="AH171" i="21"/>
  <c r="AH107" i="21"/>
  <c r="AH51" i="21"/>
  <c r="AH306" i="21"/>
  <c r="AH32" i="21"/>
  <c r="AH178" i="21"/>
  <c r="AH10" i="21"/>
  <c r="AH136" i="21"/>
  <c r="AH90" i="21"/>
  <c r="AH152" i="21"/>
  <c r="AH146" i="21"/>
  <c r="AH466" i="21"/>
  <c r="AH48" i="21"/>
  <c r="AH170" i="21"/>
  <c r="AH72" i="21"/>
  <c r="AH91" i="21"/>
  <c r="AH27" i="21"/>
  <c r="AH314" i="21"/>
  <c r="AH26" i="21"/>
  <c r="AH114" i="21"/>
  <c r="AH210" i="21"/>
  <c r="AH16" i="21"/>
  <c r="AH138" i="21"/>
  <c r="AH40" i="21"/>
  <c r="AH234" i="21"/>
  <c r="AH88" i="21"/>
  <c r="AH200" i="21"/>
  <c r="AH67" i="21"/>
  <c r="AH2" i="21"/>
  <c r="AH128" i="21"/>
  <c r="AH24" i="21"/>
  <c r="AH42" i="21"/>
  <c r="AH168" i="21"/>
  <c r="AH409" i="21"/>
  <c r="AH305" i="21"/>
  <c r="AH193" i="21"/>
  <c r="AH360" i="21"/>
  <c r="AH479" i="21"/>
  <c r="AH383" i="21"/>
  <c r="AH295" i="21"/>
  <c r="AH159" i="21"/>
  <c r="AH494" i="21"/>
  <c r="AH438" i="21"/>
  <c r="AJ438" i="21"/>
  <c r="AH374" i="21"/>
  <c r="AH310" i="21"/>
  <c r="AH254" i="21"/>
  <c r="AH18" i="21"/>
  <c r="AH122" i="21"/>
  <c r="AH98" i="21"/>
  <c r="AH75" i="21"/>
  <c r="AH379" i="21"/>
  <c r="AH362" i="21"/>
  <c r="AH124" i="21"/>
  <c r="AH444" i="21"/>
  <c r="AH237" i="21"/>
  <c r="AH405" i="21"/>
  <c r="AH230" i="21"/>
  <c r="AH478" i="21"/>
  <c r="AH199" i="21"/>
  <c r="AH424" i="21"/>
  <c r="AH145" i="21"/>
  <c r="AH123" i="21"/>
  <c r="AH235" i="21"/>
  <c r="AH330" i="21"/>
  <c r="AH76" i="21"/>
  <c r="AH188" i="21"/>
  <c r="AH492" i="21"/>
  <c r="AH13" i="21"/>
  <c r="AH69" i="21"/>
  <c r="AH141" i="21"/>
  <c r="AH205" i="21"/>
  <c r="AH269" i="21"/>
  <c r="AH325" i="21"/>
  <c r="AH389" i="21"/>
  <c r="AH14" i="21"/>
  <c r="AH70" i="21"/>
  <c r="AH134" i="21"/>
  <c r="AH262" i="21"/>
  <c r="AH95" i="21"/>
  <c r="AH167" i="21"/>
  <c r="AH231" i="21"/>
  <c r="AH399" i="21"/>
  <c r="AH464" i="21"/>
  <c r="AH264" i="21"/>
  <c r="AH89" i="21"/>
  <c r="A210" i="29"/>
  <c r="A210" i="31"/>
  <c r="AH160" i="21"/>
  <c r="AH34" i="21"/>
  <c r="AH139" i="21"/>
  <c r="AH251" i="21"/>
  <c r="AH307" i="21"/>
  <c r="AH419" i="21"/>
  <c r="AH386" i="21"/>
  <c r="AH84" i="21"/>
  <c r="AH388" i="21"/>
  <c r="AH452" i="21"/>
  <c r="AH354" i="21"/>
  <c r="AH29" i="21"/>
  <c r="AH93" i="21"/>
  <c r="AH149" i="21"/>
  <c r="AH285" i="21"/>
  <c r="AH341" i="21"/>
  <c r="AH454" i="21"/>
  <c r="AH394" i="21"/>
  <c r="AH39" i="21"/>
  <c r="AH431" i="21"/>
  <c r="AH408" i="21"/>
  <c r="AH129" i="21"/>
  <c r="AH249" i="21"/>
  <c r="AH345" i="21"/>
  <c r="AH147" i="21"/>
  <c r="AH203" i="21"/>
  <c r="AH315" i="21"/>
  <c r="AH371" i="21"/>
  <c r="AH475" i="21"/>
  <c r="AH100" i="21"/>
  <c r="AH156" i="21"/>
  <c r="AH212" i="21"/>
  <c r="AH276" i="21"/>
  <c r="AH340" i="21"/>
  <c r="AH404" i="21"/>
  <c r="AH101" i="21"/>
  <c r="AH229" i="21"/>
  <c r="AH349" i="21"/>
  <c r="AH94" i="21"/>
  <c r="AH150" i="21"/>
  <c r="AH286" i="21"/>
  <c r="AH342" i="21"/>
  <c r="AH462" i="21"/>
  <c r="AH418" i="21"/>
  <c r="AH119" i="21"/>
  <c r="AH191" i="21"/>
  <c r="AH335" i="21"/>
  <c r="AH208" i="21"/>
  <c r="AH312" i="21"/>
  <c r="AH25" i="21"/>
  <c r="AH353" i="21"/>
  <c r="AH465" i="21"/>
  <c r="AH130" i="21"/>
  <c r="AH434" i="21"/>
  <c r="AH35" i="21"/>
  <c r="AH323" i="21"/>
  <c r="AH387" i="21"/>
  <c r="AH116" i="21"/>
  <c r="AH172" i="21"/>
  <c r="AH292" i="21"/>
  <c r="AH348" i="21"/>
  <c r="AH476" i="21"/>
  <c r="AH181" i="21"/>
  <c r="AH493" i="21"/>
  <c r="AH110" i="21"/>
  <c r="AH174" i="21"/>
  <c r="AH358" i="21"/>
  <c r="AH414" i="21"/>
  <c r="AH71" i="21"/>
  <c r="AH143" i="21"/>
  <c r="AH207" i="21"/>
  <c r="AH440" i="21"/>
  <c r="AH240" i="21"/>
  <c r="AH491" i="21"/>
  <c r="AH60" i="21"/>
  <c r="AH236" i="21"/>
  <c r="AH420" i="21"/>
  <c r="AH450" i="21"/>
  <c r="AH61" i="21"/>
  <c r="AH253" i="21"/>
  <c r="AH309" i="21"/>
  <c r="AH445" i="21"/>
  <c r="AH54" i="21"/>
  <c r="AH182" i="21"/>
  <c r="AH15" i="21"/>
  <c r="AH79" i="21"/>
  <c r="AH151" i="21"/>
  <c r="AH375" i="21"/>
  <c r="AH456" i="21"/>
  <c r="AH248" i="21"/>
  <c r="AH489" i="21"/>
  <c r="AH417" i="21"/>
  <c r="AH385" i="21"/>
  <c r="AH209" i="21"/>
  <c r="AH177" i="21"/>
  <c r="AH137" i="21"/>
  <c r="AH97" i="21"/>
  <c r="AH376" i="21"/>
  <c r="AH344" i="21"/>
  <c r="AH473" i="21"/>
  <c r="AH321" i="21"/>
  <c r="AJ321" i="21"/>
  <c r="AH281" i="21"/>
  <c r="AH153" i="21"/>
  <c r="AH113" i="21"/>
  <c r="AH73" i="21"/>
  <c r="AH33" i="21"/>
  <c r="AI33" i="21"/>
  <c r="AN33" i="21"/>
  <c r="F33" i="29"/>
  <c r="AH336" i="21"/>
  <c r="AH256" i="21"/>
  <c r="AH448" i="21"/>
  <c r="AH416" i="21"/>
  <c r="AH423" i="21"/>
  <c r="AH391" i="21"/>
  <c r="AH247" i="21"/>
  <c r="AH482" i="21"/>
  <c r="AH433" i="21"/>
  <c r="AH490" i="21"/>
  <c r="AH441" i="21"/>
  <c r="AH401" i="21"/>
  <c r="AI401" i="21"/>
  <c r="AH361" i="21"/>
  <c r="AH289" i="21"/>
  <c r="AI289" i="21"/>
  <c r="AH241" i="21"/>
  <c r="AH201" i="21"/>
  <c r="AH161" i="21"/>
  <c r="AH304" i="21"/>
  <c r="AH224" i="21"/>
  <c r="AI224" i="21"/>
  <c r="AH488" i="21"/>
  <c r="AH495" i="21"/>
  <c r="AJ495" i="21"/>
  <c r="AH463" i="21"/>
  <c r="AH351" i="21"/>
  <c r="AI351" i="21"/>
  <c r="AH319" i="21"/>
  <c r="AH287" i="21"/>
  <c r="AH255" i="21"/>
  <c r="AH183" i="21"/>
  <c r="AH103" i="21"/>
  <c r="AH31" i="21"/>
  <c r="AH442" i="21"/>
  <c r="AH346" i="21"/>
  <c r="AH470" i="21"/>
  <c r="AH398" i="21"/>
  <c r="AH366" i="21"/>
  <c r="AH334" i="21"/>
  <c r="AH302" i="21"/>
  <c r="AH270" i="21"/>
  <c r="AH238" i="21"/>
  <c r="AH206" i="21"/>
  <c r="AH166" i="21"/>
  <c r="AH62" i="21"/>
  <c r="AH30" i="21"/>
  <c r="AH501" i="21"/>
  <c r="AH469" i="21"/>
  <c r="AH365" i="21"/>
  <c r="AH125" i="21"/>
  <c r="AH53" i="21"/>
  <c r="AH21" i="21"/>
  <c r="AH410" i="21"/>
  <c r="AH364" i="21"/>
  <c r="AH332" i="21"/>
  <c r="AH300" i="21"/>
  <c r="AH268" i="21"/>
  <c r="AH228" i="21"/>
  <c r="AH196" i="21"/>
  <c r="AH497" i="21"/>
  <c r="AI497" i="21"/>
  <c r="AH369" i="21"/>
  <c r="AH313" i="21"/>
  <c r="AH217" i="21"/>
  <c r="AH368" i="21"/>
  <c r="AH320" i="21"/>
  <c r="AH272" i="21"/>
  <c r="AH216" i="21"/>
  <c r="AH472" i="21"/>
  <c r="AH487" i="21"/>
  <c r="AH447" i="21"/>
  <c r="AH343" i="21"/>
  <c r="AH303" i="21"/>
  <c r="AH263" i="21"/>
  <c r="AH215" i="21"/>
  <c r="AH175" i="21"/>
  <c r="AH87" i="21"/>
  <c r="AH7" i="21"/>
  <c r="AH422" i="21"/>
  <c r="AH350" i="21"/>
  <c r="AH278" i="21"/>
  <c r="AH198" i="21"/>
  <c r="AH118" i="21"/>
  <c r="AH6" i="21"/>
  <c r="AH429" i="21"/>
  <c r="AH277" i="21"/>
  <c r="AH197" i="21"/>
  <c r="AH157" i="21"/>
  <c r="AH117" i="21"/>
  <c r="AH37" i="21"/>
  <c r="AH468" i="21"/>
  <c r="AJ468" i="21"/>
  <c r="AH428" i="21"/>
  <c r="AH316" i="21"/>
  <c r="AH164" i="21"/>
  <c r="AH52" i="21"/>
  <c r="AH20" i="21"/>
  <c r="AH402" i="21"/>
  <c r="AH363" i="21"/>
  <c r="AH331" i="21"/>
  <c r="AH291" i="21"/>
  <c r="AH259" i="21"/>
  <c r="AH155" i="21"/>
  <c r="AH115" i="21"/>
  <c r="AH83" i="21"/>
  <c r="AH43" i="21"/>
  <c r="AH66" i="21"/>
  <c r="AH242" i="21"/>
  <c r="AH96" i="21"/>
  <c r="AH282" i="21"/>
  <c r="AH50" i="21"/>
  <c r="AH80" i="21"/>
  <c r="AH258" i="21"/>
  <c r="AH104" i="21"/>
  <c r="AH498" i="21"/>
  <c r="AJ498" i="21"/>
  <c r="AH457" i="21"/>
  <c r="AJ457" i="21"/>
  <c r="AH393" i="21"/>
  <c r="AH297" i="21"/>
  <c r="AH233" i="21"/>
  <c r="AH185" i="21"/>
  <c r="AH65" i="21"/>
  <c r="AH17" i="21"/>
  <c r="AH352" i="21"/>
  <c r="AH296" i="21"/>
  <c r="AH496" i="21"/>
  <c r="AH400" i="21"/>
  <c r="AH471" i="21"/>
  <c r="AH367" i="21"/>
  <c r="AH327" i="21"/>
  <c r="AH279" i="21"/>
  <c r="AH111" i="21"/>
  <c r="AH63" i="21"/>
  <c r="AH23" i="21"/>
  <c r="AH486" i="21"/>
  <c r="AH446" i="21"/>
  <c r="AH406" i="21"/>
  <c r="AH294" i="21"/>
  <c r="AH222" i="21"/>
  <c r="AH102" i="21"/>
  <c r="AH22" i="21"/>
  <c r="AH453" i="21"/>
  <c r="AH413" i="21"/>
  <c r="AH373" i="21"/>
  <c r="AH333" i="21"/>
  <c r="AJ333" i="21"/>
  <c r="AH293" i="21"/>
  <c r="AH221" i="21"/>
  <c r="AH378" i="21"/>
  <c r="AH484" i="21"/>
  <c r="AH412" i="21"/>
  <c r="AH372" i="21"/>
  <c r="AH260" i="21"/>
  <c r="AH180" i="21"/>
  <c r="AH148" i="21"/>
  <c r="AH108" i="21"/>
  <c r="AH36" i="21"/>
  <c r="AH4" i="21"/>
  <c r="AH347" i="21"/>
  <c r="AH275" i="21"/>
  <c r="AH99" i="21"/>
  <c r="AH59" i="21"/>
  <c r="AH474" i="21"/>
  <c r="AH377" i="21"/>
  <c r="AH273" i="21"/>
  <c r="AH225" i="21"/>
  <c r="AH169" i="21"/>
  <c r="AH105" i="21"/>
  <c r="AH9" i="21"/>
  <c r="AH288" i="21"/>
  <c r="AH480" i="21"/>
  <c r="AH392" i="21"/>
  <c r="AH455" i="21"/>
  <c r="AH359" i="21"/>
  <c r="AH311" i="21"/>
  <c r="AH425" i="21"/>
  <c r="AH329" i="21"/>
  <c r="AH265" i="21"/>
  <c r="AH49" i="21"/>
  <c r="AH384" i="21"/>
  <c r="AH328" i="21"/>
  <c r="AH280" i="21"/>
  <c r="AH232" i="21"/>
  <c r="AH432" i="21"/>
  <c r="AH407" i="21"/>
  <c r="AI407" i="21"/>
  <c r="AH223" i="21"/>
  <c r="AH135" i="21"/>
  <c r="AH47" i="21"/>
  <c r="AH370" i="21"/>
  <c r="AH430" i="21"/>
  <c r="AH390" i="21"/>
  <c r="AH318" i="21"/>
  <c r="AH246" i="21"/>
  <c r="AH158" i="21"/>
  <c r="AH86" i="21"/>
  <c r="AH46" i="21"/>
  <c r="AJ46" i="21"/>
  <c r="AH477" i="21"/>
  <c r="AH437" i="21"/>
  <c r="AH397" i="21"/>
  <c r="AH357" i="21"/>
  <c r="AH317" i="21"/>
  <c r="AH245" i="21"/>
  <c r="AJ245" i="21"/>
  <c r="AH165" i="21"/>
  <c r="AH77" i="21"/>
  <c r="AH5" i="21"/>
  <c r="AH338" i="21"/>
  <c r="AH436" i="21"/>
  <c r="AJ436" i="21"/>
  <c r="AH396" i="21"/>
  <c r="AH356" i="21"/>
  <c r="AJ356" i="21"/>
  <c r="AH284" i="21"/>
  <c r="AH244" i="21"/>
  <c r="AH204" i="21"/>
  <c r="AH132" i="21"/>
  <c r="AH92" i="21"/>
  <c r="AH499" i="21"/>
  <c r="AH467" i="21"/>
  <c r="AH435" i="21"/>
  <c r="AH403" i="21"/>
  <c r="AH299" i="21"/>
  <c r="AH227" i="21"/>
  <c r="AH195" i="21"/>
  <c r="AH163" i="21"/>
  <c r="AH11" i="21"/>
  <c r="AH250" i="21"/>
  <c r="AH186" i="21"/>
  <c r="AH58" i="21"/>
  <c r="AH184" i="21"/>
  <c r="AH82" i="21"/>
  <c r="AH274" i="21"/>
  <c r="AH112" i="21"/>
  <c r="AH266" i="21"/>
  <c r="AH106" i="21"/>
  <c r="AJ407" i="21"/>
  <c r="AJ33" i="21"/>
  <c r="AI333" i="21"/>
  <c r="AI495" i="21"/>
  <c r="AI456" i="21"/>
  <c r="AI436" i="21"/>
  <c r="AI498" i="21"/>
  <c r="AI468" i="21"/>
  <c r="AJ401" i="21"/>
  <c r="AI457" i="21"/>
  <c r="AJ351" i="21"/>
  <c r="AB327" i="21"/>
  <c r="AJ289" i="21"/>
  <c r="AB332" i="21"/>
  <c r="AG82" i="21"/>
  <c r="AB487" i="21"/>
  <c r="AB463" i="21"/>
  <c r="W86" i="21"/>
  <c r="W157" i="21"/>
  <c r="W93" i="21"/>
  <c r="W124" i="21"/>
  <c r="W155" i="21"/>
  <c r="W91" i="21"/>
  <c r="W122" i="21"/>
  <c r="W153" i="21"/>
  <c r="W89" i="21"/>
  <c r="W128" i="21"/>
  <c r="W167" i="21"/>
  <c r="W103" i="21"/>
  <c r="W134" i="21"/>
  <c r="W125" i="21"/>
  <c r="W156" i="21"/>
  <c r="W92" i="21"/>
  <c r="W123" i="21"/>
  <c r="W154" i="21"/>
  <c r="W90" i="21"/>
  <c r="W121" i="21"/>
  <c r="W160" i="21"/>
  <c r="W96" i="21"/>
  <c r="W135" i="21"/>
  <c r="W166" i="21"/>
  <c r="W102" i="21"/>
  <c r="W101" i="21"/>
  <c r="W108" i="21"/>
  <c r="W115" i="21"/>
  <c r="W130" i="21"/>
  <c r="W137" i="21"/>
  <c r="W152" i="21"/>
  <c r="W175" i="21"/>
  <c r="W87" i="21"/>
  <c r="W94" i="21"/>
  <c r="W173" i="21"/>
  <c r="W85" i="21"/>
  <c r="W100" i="21"/>
  <c r="W107" i="21"/>
  <c r="W114" i="21"/>
  <c r="W129" i="21"/>
  <c r="W144" i="21"/>
  <c r="W159" i="21"/>
  <c r="W174" i="21"/>
  <c r="W165" i="21"/>
  <c r="W172" i="21"/>
  <c r="W84" i="21"/>
  <c r="W99" i="21"/>
  <c r="W106" i="21"/>
  <c r="W113" i="21"/>
  <c r="W136" i="21"/>
  <c r="W151" i="21"/>
  <c r="W158" i="21"/>
  <c r="W149" i="21"/>
  <c r="W164" i="21"/>
  <c r="W171" i="21"/>
  <c r="W83" i="21"/>
  <c r="W98" i="21"/>
  <c r="W105" i="21"/>
  <c r="W120" i="21"/>
  <c r="W143" i="21"/>
  <c r="W150" i="21"/>
  <c r="W141" i="21"/>
  <c r="W148" i="21"/>
  <c r="W163" i="21"/>
  <c r="W170" i="21"/>
  <c r="W82" i="21"/>
  <c r="W97" i="21"/>
  <c r="W112" i="21"/>
  <c r="W127" i="21"/>
  <c r="W142" i="21"/>
  <c r="W117" i="21"/>
  <c r="W132" i="21"/>
  <c r="W139" i="21"/>
  <c r="W146" i="21"/>
  <c r="W161" i="21"/>
  <c r="W176" i="21"/>
  <c r="W88" i="21"/>
  <c r="W111" i="21"/>
  <c r="W118" i="21"/>
  <c r="W109" i="21"/>
  <c r="W116" i="21"/>
  <c r="W131" i="21"/>
  <c r="W138" i="21"/>
  <c r="W145" i="21"/>
  <c r="W168" i="21"/>
  <c r="W80" i="21"/>
  <c r="W95" i="21"/>
  <c r="W110" i="21"/>
  <c r="W140" i="21"/>
  <c r="W147" i="21"/>
  <c r="W162" i="21"/>
  <c r="W169" i="21"/>
  <c r="W119" i="21"/>
  <c r="AD499" i="21"/>
  <c r="AG499" i="21"/>
  <c r="AD280" i="21"/>
  <c r="AG280" i="21"/>
  <c r="AD423" i="21"/>
  <c r="AG423" i="21"/>
  <c r="AD486" i="21"/>
  <c r="AG486" i="21"/>
  <c r="AD438" i="21"/>
  <c r="AG438" i="21"/>
  <c r="AD444" i="21"/>
  <c r="AG444" i="21"/>
  <c r="AD436" i="21"/>
  <c r="AG436" i="21"/>
  <c r="AD380" i="21"/>
  <c r="AG380" i="21"/>
  <c r="AD442" i="21"/>
  <c r="AG442" i="21"/>
  <c r="AD422" i="21"/>
  <c r="AG422" i="21"/>
  <c r="AD283" i="21"/>
  <c r="AG283" i="21"/>
  <c r="AD384" i="21"/>
  <c r="AG384" i="21"/>
  <c r="AD425" i="21"/>
  <c r="AG425" i="21"/>
  <c r="AD335" i="21"/>
  <c r="AG335" i="21"/>
  <c r="AD350" i="21"/>
  <c r="AG350" i="21"/>
  <c r="AD336" i="21"/>
  <c r="AG336" i="21"/>
  <c r="AD274" i="21"/>
  <c r="AG274" i="21"/>
  <c r="AD353" i="21"/>
  <c r="AG353" i="21"/>
  <c r="AD320" i="21"/>
  <c r="AD228" i="21"/>
  <c r="AG228" i="21"/>
  <c r="AD249" i="21"/>
  <c r="AD243" i="21"/>
  <c r="AD295" i="21"/>
  <c r="AG295" i="21"/>
  <c r="AD239" i="21"/>
  <c r="AG239" i="21"/>
  <c r="AD195" i="21"/>
  <c r="AG195" i="21"/>
  <c r="AD241" i="21"/>
  <c r="AG241" i="21"/>
  <c r="AD206" i="21"/>
  <c r="AD158" i="21"/>
  <c r="AG158" i="21"/>
  <c r="AD93" i="21"/>
  <c r="AG93" i="21"/>
  <c r="AD202" i="21"/>
  <c r="AG202" i="21"/>
  <c r="AD143" i="21"/>
  <c r="AG143" i="21"/>
  <c r="AD112" i="21"/>
  <c r="AD73" i="21"/>
  <c r="AG73" i="21"/>
  <c r="AD110" i="21"/>
  <c r="AD99" i="21"/>
  <c r="AG99" i="21"/>
  <c r="AD118" i="21"/>
  <c r="AG118" i="21"/>
  <c r="AD26" i="21"/>
  <c r="AG26" i="21"/>
  <c r="AD111" i="21"/>
  <c r="AG111" i="21"/>
  <c r="AD38" i="21"/>
  <c r="AG38" i="21"/>
  <c r="AD14" i="21"/>
  <c r="AG14" i="21"/>
  <c r="AD71" i="21"/>
  <c r="AD45" i="21"/>
  <c r="AD19" i="21"/>
  <c r="AG19" i="21"/>
  <c r="AD79" i="21"/>
  <c r="AG79" i="21"/>
  <c r="AD64" i="21"/>
  <c r="AD50" i="21"/>
  <c r="AD31" i="21"/>
  <c r="AG31" i="21"/>
  <c r="AD91" i="21"/>
  <c r="AG91" i="21"/>
  <c r="AD86" i="21"/>
  <c r="AG86" i="21"/>
  <c r="AD18" i="21"/>
  <c r="AD70" i="21"/>
  <c r="AD17" i="21"/>
  <c r="AD94" i="21"/>
  <c r="AD139" i="21"/>
  <c r="AG139" i="21"/>
  <c r="AD140" i="21"/>
  <c r="AD57" i="21"/>
  <c r="AG57" i="21"/>
  <c r="AD141" i="21"/>
  <c r="AG141" i="21"/>
  <c r="AD134" i="21"/>
  <c r="AG134" i="21"/>
  <c r="AD109" i="21"/>
  <c r="AG109" i="21"/>
  <c r="AD151" i="21"/>
  <c r="AG151" i="21"/>
  <c r="AD216" i="21"/>
  <c r="AG216" i="21"/>
  <c r="AD198" i="21"/>
  <c r="AG198" i="21"/>
  <c r="AD199" i="21"/>
  <c r="AG199" i="21"/>
  <c r="AD188" i="21"/>
  <c r="AD174" i="21"/>
  <c r="AG174" i="21"/>
  <c r="AD223" i="21"/>
  <c r="AG223" i="21"/>
  <c r="AD250" i="21"/>
  <c r="AD255" i="21"/>
  <c r="AG255" i="21"/>
  <c r="AD237" i="21"/>
  <c r="AG237" i="21"/>
  <c r="AD262" i="21"/>
  <c r="AG262" i="21"/>
  <c r="AD267" i="21"/>
  <c r="AG267" i="21"/>
  <c r="AD253" i="21"/>
  <c r="AG253" i="21"/>
  <c r="AD258" i="21"/>
  <c r="AG258" i="21"/>
  <c r="AD307" i="21"/>
  <c r="AG307" i="21"/>
  <c r="AD252" i="21"/>
  <c r="AG252" i="21"/>
  <c r="AD234" i="21"/>
  <c r="AG234" i="21"/>
  <c r="AD309" i="21"/>
  <c r="AG309" i="21"/>
  <c r="AD351" i="21"/>
  <c r="AG351" i="21"/>
  <c r="AD345" i="21"/>
  <c r="AG345" i="21"/>
  <c r="AD312" i="21"/>
  <c r="AG312" i="21"/>
  <c r="AD324" i="21"/>
  <c r="AD297" i="21"/>
  <c r="AG297" i="21"/>
  <c r="AD439" i="21"/>
  <c r="AG439" i="21"/>
  <c r="AD362" i="21"/>
  <c r="AG362" i="21"/>
  <c r="AD304" i="21"/>
  <c r="AG304" i="21"/>
  <c r="AD395" i="21"/>
  <c r="AG395" i="21"/>
  <c r="AD446" i="21"/>
  <c r="AG446" i="21"/>
  <c r="AD365" i="21"/>
  <c r="AG365" i="21"/>
  <c r="AD447" i="21"/>
  <c r="AG447" i="21"/>
  <c r="AD370" i="21"/>
  <c r="AG370" i="21"/>
  <c r="AD403" i="21"/>
  <c r="AG403" i="21"/>
  <c r="AD459" i="21"/>
  <c r="AG459" i="21"/>
  <c r="AD473" i="21"/>
  <c r="AG473" i="21"/>
  <c r="AD360" i="21"/>
  <c r="AG360" i="21"/>
  <c r="AD272" i="21"/>
  <c r="AG272" i="21"/>
  <c r="AD462" i="21"/>
  <c r="AG462" i="21"/>
  <c r="AD424" i="21"/>
  <c r="AG424" i="21"/>
  <c r="AD385" i="21"/>
  <c r="AG385" i="21"/>
  <c r="AD480" i="21"/>
  <c r="AG480" i="21"/>
  <c r="AD397" i="21"/>
  <c r="AD373" i="21"/>
  <c r="AG373" i="21"/>
  <c r="AD500" i="21"/>
  <c r="AG500" i="21"/>
  <c r="AD460" i="21"/>
  <c r="AG460" i="21"/>
  <c r="AD68" i="21"/>
  <c r="AG68" i="21"/>
  <c r="AD47" i="21"/>
  <c r="AG47" i="21"/>
  <c r="AD36" i="21"/>
  <c r="AG36" i="21"/>
  <c r="AD30" i="21"/>
  <c r="AD23" i="21"/>
  <c r="AG23" i="21"/>
  <c r="AD96" i="21"/>
  <c r="AG96" i="21"/>
  <c r="AD107" i="21"/>
  <c r="AG107" i="21"/>
  <c r="AD40" i="21"/>
  <c r="AG40" i="21"/>
  <c r="AD113" i="21"/>
  <c r="AG113" i="21"/>
  <c r="AD69" i="21"/>
  <c r="AG69" i="21"/>
  <c r="AD116" i="21"/>
  <c r="AG116" i="21"/>
  <c r="AD128" i="21"/>
  <c r="AD65" i="21"/>
  <c r="AD155" i="21"/>
  <c r="AG155" i="21"/>
  <c r="AD142" i="21"/>
  <c r="AG142" i="21"/>
  <c r="AD157" i="21"/>
  <c r="AG157" i="21"/>
  <c r="AD197" i="21"/>
  <c r="AG197" i="21"/>
  <c r="AD185" i="21"/>
  <c r="AG185" i="21"/>
  <c r="AD194" i="21"/>
  <c r="AG194" i="21"/>
  <c r="AD104" i="21"/>
  <c r="AG104" i="21"/>
  <c r="AD191" i="21"/>
  <c r="AG191" i="21"/>
  <c r="AD212" i="21"/>
  <c r="AG212" i="21"/>
  <c r="AD219" i="21"/>
  <c r="AD201" i="21"/>
  <c r="AG201" i="21"/>
  <c r="AD233" i="21"/>
  <c r="AG233" i="21"/>
  <c r="AD266" i="21"/>
  <c r="AD265" i="21"/>
  <c r="AG265" i="21"/>
  <c r="AD264" i="21"/>
  <c r="AG264" i="21"/>
  <c r="AD214" i="21"/>
  <c r="AG214" i="21"/>
  <c r="AD303" i="21"/>
  <c r="AG303" i="21"/>
  <c r="AD284" i="21"/>
  <c r="AG284" i="21"/>
  <c r="AD339" i="21"/>
  <c r="AG339" i="21"/>
  <c r="AD329" i="21"/>
  <c r="AG329" i="21"/>
  <c r="AD323" i="21"/>
  <c r="AG323" i="21"/>
  <c r="AD337" i="21"/>
  <c r="AG337" i="21"/>
  <c r="AD374" i="21"/>
  <c r="AG374" i="21"/>
  <c r="AD330" i="21"/>
  <c r="AG330" i="21"/>
  <c r="AD389" i="21"/>
  <c r="AG389" i="21"/>
  <c r="AD376" i="21"/>
  <c r="AG376" i="21"/>
  <c r="AD441" i="21"/>
  <c r="AG441" i="21"/>
  <c r="AD377" i="21"/>
  <c r="AG377" i="21"/>
  <c r="AD471" i="21"/>
  <c r="AG471" i="21"/>
  <c r="AD340" i="21"/>
  <c r="AG340" i="21"/>
  <c r="AD432" i="21"/>
  <c r="AG432" i="21"/>
  <c r="AD434" i="21"/>
  <c r="AG434" i="21"/>
  <c r="AD333" i="21"/>
  <c r="AG333" i="21"/>
  <c r="AD483" i="21"/>
  <c r="AG483" i="21"/>
  <c r="AD468" i="21"/>
  <c r="AG468" i="21"/>
  <c r="AD453" i="21"/>
  <c r="AG453" i="21"/>
  <c r="AD426" i="21"/>
  <c r="AG426" i="21"/>
  <c r="AD391" i="21"/>
  <c r="AD466" i="21"/>
  <c r="AG466" i="21"/>
  <c r="AD467" i="21"/>
  <c r="AG467" i="21"/>
  <c r="AD448" i="21"/>
  <c r="AG448" i="21"/>
  <c r="AD32" i="21"/>
  <c r="AD11" i="21"/>
  <c r="AG11" i="21"/>
  <c r="AD4" i="21"/>
  <c r="AG4" i="21"/>
  <c r="AD80" i="21"/>
  <c r="AG80" i="21"/>
  <c r="AD74" i="21"/>
  <c r="AG74" i="21"/>
  <c r="AD59" i="21"/>
  <c r="AG59" i="21"/>
  <c r="AD117" i="21"/>
  <c r="AG117" i="21"/>
  <c r="AD108" i="21"/>
  <c r="AG108" i="21"/>
  <c r="AD62" i="21"/>
  <c r="AD25" i="21"/>
  <c r="AG25" i="21"/>
  <c r="AD105" i="21"/>
  <c r="AG105" i="21"/>
  <c r="AD161" i="21"/>
  <c r="AG161" i="21"/>
  <c r="AD21" i="21"/>
  <c r="AD127" i="21"/>
  <c r="AG127" i="21"/>
  <c r="AD131" i="21"/>
  <c r="AG131" i="21"/>
  <c r="AD172" i="21"/>
  <c r="AD168" i="21"/>
  <c r="AG168" i="21"/>
  <c r="AD145" i="21"/>
  <c r="AG145" i="21"/>
  <c r="AD153" i="21"/>
  <c r="AD100" i="21"/>
  <c r="AD181" i="21"/>
  <c r="AD221" i="21"/>
  <c r="AG221" i="21"/>
  <c r="AD245" i="21"/>
  <c r="AG245" i="21"/>
  <c r="AD271" i="21"/>
  <c r="AG271" i="21"/>
  <c r="AD246" i="21"/>
  <c r="AG246" i="21"/>
  <c r="AD238" i="21"/>
  <c r="AG238" i="21"/>
  <c r="AD300" i="21"/>
  <c r="AG300" i="21"/>
  <c r="AD200" i="21"/>
  <c r="AG200" i="21"/>
  <c r="AD292" i="21"/>
  <c r="AG292" i="21"/>
  <c r="AD232" i="21"/>
  <c r="AD248" i="21"/>
  <c r="AG248" i="21"/>
  <c r="AD305" i="21"/>
  <c r="AG305" i="21"/>
  <c r="AD210" i="21"/>
  <c r="AD285" i="21"/>
  <c r="AG285" i="21"/>
  <c r="AD291" i="21"/>
  <c r="AG291" i="21"/>
  <c r="AD269" i="21"/>
  <c r="AG269" i="21"/>
  <c r="AD399" i="21"/>
  <c r="AG399" i="21"/>
  <c r="AD367" i="21"/>
  <c r="AG367" i="21"/>
  <c r="AD338" i="21"/>
  <c r="AG338" i="21"/>
  <c r="AD415" i="21"/>
  <c r="AG415" i="21"/>
  <c r="AD321" i="21"/>
  <c r="AG321" i="21"/>
  <c r="AD411" i="21"/>
  <c r="AG411" i="21"/>
  <c r="AD326" i="21"/>
  <c r="AG326" i="21"/>
  <c r="AD393" i="21"/>
  <c r="AG393" i="21"/>
  <c r="AD472" i="21"/>
  <c r="AG472" i="21"/>
  <c r="AD488" i="21"/>
  <c r="AG488" i="21"/>
  <c r="AD407" i="21"/>
  <c r="AG407" i="21"/>
  <c r="AD418" i="21"/>
  <c r="AG418" i="21"/>
  <c r="AD413" i="21"/>
  <c r="AG413" i="21"/>
  <c r="AD476" i="21"/>
  <c r="AG476" i="21"/>
  <c r="AD355" i="21"/>
  <c r="AG355" i="21"/>
  <c r="AD490" i="21"/>
  <c r="AG490" i="21"/>
  <c r="AD371" i="21"/>
  <c r="AG371" i="21"/>
  <c r="AD494" i="21"/>
  <c r="AG494" i="21"/>
  <c r="AD392" i="21"/>
  <c r="AG392" i="21"/>
  <c r="AD325" i="21"/>
  <c r="AG325" i="21"/>
  <c r="AD378" i="21"/>
  <c r="AG378" i="21"/>
  <c r="AD379" i="21"/>
  <c r="AG379" i="21"/>
  <c r="AD464" i="21"/>
  <c r="AG464" i="21"/>
  <c r="AD341" i="21"/>
  <c r="AG341" i="21"/>
  <c r="AD401" i="21"/>
  <c r="AG401" i="21"/>
  <c r="AD382" i="21"/>
  <c r="AG382" i="21"/>
  <c r="AD461" i="21"/>
  <c r="AG461" i="21"/>
  <c r="AD356" i="21"/>
  <c r="AG356" i="21"/>
  <c r="AD310" i="21"/>
  <c r="AG310" i="21"/>
  <c r="AD275" i="21"/>
  <c r="AG275" i="21"/>
  <c r="AD298" i="21"/>
  <c r="AG298" i="21"/>
  <c r="AD293" i="21"/>
  <c r="AG293" i="21"/>
  <c r="AD296" i="21"/>
  <c r="AG296" i="21"/>
  <c r="AD301" i="21"/>
  <c r="AG301" i="21"/>
  <c r="AD259" i="21"/>
  <c r="AG259" i="21"/>
  <c r="AD256" i="21"/>
  <c r="AG256" i="21"/>
  <c r="AD230" i="21"/>
  <c r="AG230" i="21"/>
  <c r="AD235" i="21"/>
  <c r="AG235" i="21"/>
  <c r="AD160" i="21"/>
  <c r="AG160" i="21"/>
  <c r="AD211" i="21"/>
  <c r="AG211" i="21"/>
  <c r="AD177" i="21"/>
  <c r="AD176" i="21"/>
  <c r="AG176" i="21"/>
  <c r="AD156" i="21"/>
  <c r="AG156" i="21"/>
  <c r="AD148" i="21"/>
  <c r="AG148" i="21"/>
  <c r="AD29" i="21"/>
  <c r="AG29" i="21"/>
  <c r="AD146" i="21"/>
  <c r="AG146" i="21"/>
  <c r="AD61" i="21"/>
  <c r="AG61" i="21"/>
  <c r="AD78" i="21"/>
  <c r="AD97" i="21"/>
  <c r="AD83" i="21"/>
  <c r="AD82" i="21"/>
  <c r="AD56" i="21"/>
  <c r="AD41" i="21"/>
  <c r="AG41" i="21"/>
  <c r="AD39" i="21"/>
  <c r="AG39" i="21"/>
  <c r="AE7" i="21"/>
  <c r="AG7" i="21"/>
  <c r="AE67" i="21"/>
  <c r="AE46" i="21"/>
  <c r="AE27" i="21"/>
  <c r="AE5" i="21"/>
  <c r="AE65" i="21"/>
  <c r="AE50" i="21"/>
  <c r="AE110" i="21"/>
  <c r="AE16" i="21"/>
  <c r="AE92" i="21"/>
  <c r="AE28" i="21"/>
  <c r="AE97" i="21"/>
  <c r="AE114" i="21"/>
  <c r="AG114" i="21"/>
  <c r="AE84" i="21"/>
  <c r="AG84" i="21"/>
  <c r="AE33" i="21"/>
  <c r="AE140" i="21"/>
  <c r="AE129" i="21"/>
  <c r="AE115" i="21"/>
  <c r="AG115" i="21"/>
  <c r="AE149" i="21"/>
  <c r="AE208" i="21"/>
  <c r="AE172" i="21"/>
  <c r="AE177" i="21"/>
  <c r="AE166" i="21"/>
  <c r="AE188" i="21"/>
  <c r="AE186" i="21"/>
  <c r="AE259" i="21"/>
  <c r="AE250" i="21"/>
  <c r="AE219" i="21"/>
  <c r="AE232" i="21"/>
  <c r="AE231" i="21"/>
  <c r="AE294" i="21"/>
  <c r="AG294" i="21"/>
  <c r="AE266" i="21"/>
  <c r="AE287" i="21"/>
  <c r="AE243" i="21"/>
  <c r="AE272" i="21"/>
  <c r="AE242" i="21"/>
  <c r="AE288" i="21"/>
  <c r="AE350" i="21"/>
  <c r="AE328" i="21"/>
  <c r="AE317" i="21"/>
  <c r="AE331" i="21"/>
  <c r="AG331" i="21"/>
  <c r="AE345" i="21"/>
  <c r="AE409" i="21"/>
  <c r="AG409" i="21"/>
  <c r="AE450" i="21"/>
  <c r="AG450" i="21"/>
  <c r="AE381" i="21"/>
  <c r="AE324" i="21"/>
  <c r="AE400" i="21"/>
  <c r="AG400" i="21"/>
  <c r="AE451" i="21"/>
  <c r="AG451" i="21"/>
  <c r="AE196" i="21"/>
  <c r="AG196" i="21"/>
  <c r="AE383" i="21"/>
  <c r="AE441" i="21"/>
  <c r="AE349" i="21"/>
  <c r="AG349" i="21"/>
  <c r="AE397" i="21"/>
  <c r="AE320" i="21"/>
  <c r="AE356" i="21"/>
  <c r="AE482" i="21"/>
  <c r="AE396" i="21"/>
  <c r="AE411" i="21"/>
  <c r="AE489" i="21"/>
  <c r="AE406" i="21"/>
  <c r="AE501" i="21"/>
  <c r="AG501" i="21"/>
  <c r="AE363" i="21"/>
  <c r="AG363" i="21"/>
  <c r="AE391" i="21"/>
  <c r="AE15" i="21"/>
  <c r="AG15" i="21"/>
  <c r="AE83" i="21"/>
  <c r="AE70" i="21"/>
  <c r="AE55" i="21"/>
  <c r="AG55" i="21"/>
  <c r="AE42" i="21"/>
  <c r="AE30" i="21"/>
  <c r="AE100" i="21"/>
  <c r="AE24" i="21"/>
  <c r="AE112" i="21"/>
  <c r="AE56" i="21"/>
  <c r="AE45" i="21"/>
  <c r="AE153" i="21"/>
  <c r="AD498" i="21"/>
  <c r="AG498" i="21"/>
  <c r="AD414" i="21"/>
  <c r="AG414" i="21"/>
  <c r="AD491" i="21"/>
  <c r="AG491" i="21"/>
  <c r="AD485" i="21"/>
  <c r="AG485" i="21"/>
  <c r="AD346" i="21"/>
  <c r="AG346" i="21"/>
  <c r="AD489" i="21"/>
  <c r="AG489" i="21"/>
  <c r="AD314" i="21"/>
  <c r="AG314" i="21"/>
  <c r="AD317" i="21"/>
  <c r="AD454" i="21"/>
  <c r="AG454" i="21"/>
  <c r="AD372" i="21"/>
  <c r="AG372" i="21"/>
  <c r="AD435" i="21"/>
  <c r="AG435" i="21"/>
  <c r="AD463" i="21"/>
  <c r="AG463" i="21"/>
  <c r="AD383" i="21"/>
  <c r="AG383" i="21"/>
  <c r="AD375" i="21"/>
  <c r="AG375" i="21"/>
  <c r="AD394" i="21"/>
  <c r="AG394" i="21"/>
  <c r="AD348" i="21"/>
  <c r="AG348" i="21"/>
  <c r="AD302" i="21"/>
  <c r="AG302" i="21"/>
  <c r="AD187" i="21"/>
  <c r="AG187" i="21"/>
  <c r="AD290" i="21"/>
  <c r="AG290" i="21"/>
  <c r="AD277" i="21"/>
  <c r="AG277" i="21"/>
  <c r="AD288" i="21"/>
  <c r="AG288" i="21"/>
  <c r="AD287" i="21"/>
  <c r="AG287" i="21"/>
  <c r="AD247" i="21"/>
  <c r="AG247" i="21"/>
  <c r="AD242" i="21"/>
  <c r="AG242" i="21"/>
  <c r="AD224" i="21"/>
  <c r="AG224" i="21"/>
  <c r="AD229" i="21"/>
  <c r="AD170" i="21"/>
  <c r="AG170" i="21"/>
  <c r="AD204" i="21"/>
  <c r="AG204" i="21"/>
  <c r="AD162" i="21"/>
  <c r="AG162" i="21"/>
  <c r="AD137" i="21"/>
  <c r="AG137" i="21"/>
  <c r="AD149" i="21"/>
  <c r="AG149" i="21"/>
  <c r="AD130" i="21"/>
  <c r="AD13" i="21"/>
  <c r="AG13" i="21"/>
  <c r="AD119" i="21"/>
  <c r="AG119" i="21"/>
  <c r="AD53" i="21"/>
  <c r="AG53" i="21"/>
  <c r="AD54" i="21"/>
  <c r="AG54" i="21"/>
  <c r="AD87" i="21"/>
  <c r="AG87" i="21"/>
  <c r="AD75" i="21"/>
  <c r="AG75" i="21"/>
  <c r="AD66" i="21"/>
  <c r="AG66" i="21"/>
  <c r="AD48" i="21"/>
  <c r="AG48" i="21"/>
  <c r="AD35" i="21"/>
  <c r="AG35" i="21"/>
  <c r="AD24" i="21"/>
  <c r="AG24" i="21"/>
  <c r="AF30" i="21"/>
  <c r="AF17" i="21"/>
  <c r="AF18" i="21"/>
  <c r="AF78" i="21"/>
  <c r="AF64" i="21"/>
  <c r="AF42" i="21"/>
  <c r="AF94" i="21"/>
  <c r="AF95" i="21"/>
  <c r="AB369" i="21"/>
  <c r="W126" i="21"/>
  <c r="AD428" i="21"/>
  <c r="AG428" i="21"/>
  <c r="AD497" i="21"/>
  <c r="AG497" i="21"/>
  <c r="AD477" i="21"/>
  <c r="AG477" i="21"/>
  <c r="AD478" i="21"/>
  <c r="AG478" i="21"/>
  <c r="AD495" i="21"/>
  <c r="AG495" i="21"/>
  <c r="AD484" i="21"/>
  <c r="AG484" i="21"/>
  <c r="AD469" i="21"/>
  <c r="AG469" i="21"/>
  <c r="AD493" i="21"/>
  <c r="AG493" i="21"/>
  <c r="AD443" i="21"/>
  <c r="AG443" i="21"/>
  <c r="AD328" i="21"/>
  <c r="AG328" i="21"/>
  <c r="AD430" i="21"/>
  <c r="AG430" i="21"/>
  <c r="AD457" i="21"/>
  <c r="AG457" i="21"/>
  <c r="AD369" i="21"/>
  <c r="AG369" i="21"/>
  <c r="AD368" i="21"/>
  <c r="AG368" i="21"/>
  <c r="AD388" i="21"/>
  <c r="AG388" i="21"/>
  <c r="AD332" i="21"/>
  <c r="AG332" i="21"/>
  <c r="AD289" i="21"/>
  <c r="AG289" i="21"/>
  <c r="AD359" i="21"/>
  <c r="AG359" i="21"/>
  <c r="AD278" i="21"/>
  <c r="AG278" i="21"/>
  <c r="AD273" i="21"/>
  <c r="AG273" i="21"/>
  <c r="AD282" i="21"/>
  <c r="AG282" i="21"/>
  <c r="AD208" i="21"/>
  <c r="AG208" i="21"/>
  <c r="AD244" i="21"/>
  <c r="AG244" i="21"/>
  <c r="AD231" i="21"/>
  <c r="AD205" i="21"/>
  <c r="AG205" i="21"/>
  <c r="AD222" i="21"/>
  <c r="AD152" i="21"/>
  <c r="AG152" i="21"/>
  <c r="AD186" i="21"/>
  <c r="AG186" i="21"/>
  <c r="AD159" i="21"/>
  <c r="AG159" i="21"/>
  <c r="AD95" i="21"/>
  <c r="AG95" i="21"/>
  <c r="AD136" i="21"/>
  <c r="AG136" i="21"/>
  <c r="AD129" i="21"/>
  <c r="AG129" i="21"/>
  <c r="AD5" i="21"/>
  <c r="AG5" i="21"/>
  <c r="AD125" i="21"/>
  <c r="AG125" i="21"/>
  <c r="AD33" i="21"/>
  <c r="AG33" i="21"/>
  <c r="AD46" i="21"/>
  <c r="AG46" i="21"/>
  <c r="AD92" i="21"/>
  <c r="AG92" i="21"/>
  <c r="AD67" i="21"/>
  <c r="AG67" i="21"/>
  <c r="AD58" i="21"/>
  <c r="AG58" i="21"/>
  <c r="AD28" i="21"/>
  <c r="AG28" i="21"/>
  <c r="AD27" i="21"/>
  <c r="AG27" i="21"/>
  <c r="AD16" i="21"/>
  <c r="AG16" i="21"/>
  <c r="W104" i="21"/>
  <c r="AD416" i="21"/>
  <c r="AG416" i="21"/>
  <c r="AD455" i="21"/>
  <c r="AG455" i="21"/>
  <c r="AD406" i="21"/>
  <c r="AG406" i="21"/>
  <c r="AD458" i="21"/>
  <c r="AG458" i="21"/>
  <c r="AD479" i="21"/>
  <c r="AG479" i="21"/>
  <c r="AD475" i="21"/>
  <c r="AG475" i="21"/>
  <c r="AD465" i="21"/>
  <c r="AG465" i="21"/>
  <c r="AD482" i="21"/>
  <c r="AD437" i="21"/>
  <c r="AG437" i="21"/>
  <c r="AD299" i="21"/>
  <c r="AG299" i="21"/>
  <c r="AD396" i="21"/>
  <c r="AG396" i="21"/>
  <c r="AD452" i="21"/>
  <c r="AG452" i="21"/>
  <c r="AD366" i="21"/>
  <c r="AG366" i="21"/>
  <c r="AD358" i="21"/>
  <c r="AG358" i="21"/>
  <c r="AD381" i="21"/>
  <c r="AG381" i="21"/>
  <c r="AD318" i="21"/>
  <c r="AG318" i="21"/>
  <c r="AD215" i="21"/>
  <c r="AG215" i="21"/>
  <c r="AD343" i="21"/>
  <c r="AG343" i="21"/>
  <c r="AD261" i="21"/>
  <c r="AG261" i="21"/>
  <c r="AD226" i="21"/>
  <c r="AG226" i="21"/>
  <c r="AD276" i="21"/>
  <c r="AG276" i="21"/>
  <c r="AD175" i="21"/>
  <c r="AG175" i="21"/>
  <c r="AD227" i="21"/>
  <c r="AG227" i="21"/>
  <c r="AD225" i="21"/>
  <c r="AG225" i="21"/>
  <c r="AD190" i="21"/>
  <c r="AG190" i="21"/>
  <c r="AD213" i="21"/>
  <c r="AG213" i="21"/>
  <c r="AD120" i="21"/>
  <c r="AG120" i="21"/>
  <c r="AD178" i="21"/>
  <c r="AG178" i="21"/>
  <c r="AD89" i="21"/>
  <c r="AG89" i="21"/>
  <c r="AD165" i="21"/>
  <c r="AG165" i="21"/>
  <c r="AD135" i="21"/>
  <c r="AD90" i="21"/>
  <c r="AG90" i="21"/>
  <c r="AD147" i="21"/>
  <c r="AD121" i="21"/>
  <c r="AG121" i="21"/>
  <c r="AD9" i="21"/>
  <c r="AD42" i="21"/>
  <c r="AG42" i="21"/>
  <c r="AD133" i="21"/>
  <c r="AG133" i="21"/>
  <c r="AD51" i="21"/>
  <c r="AG51" i="21"/>
  <c r="AD43" i="21"/>
  <c r="AG43" i="21"/>
  <c r="AD20" i="21"/>
  <c r="AG20" i="21"/>
  <c r="AD3" i="21"/>
  <c r="AG3" i="21"/>
  <c r="AD8" i="21"/>
  <c r="AG8" i="21"/>
  <c r="W81" i="21"/>
  <c r="A3" i="34" a="1"/>
  <c r="A3" i="34"/>
  <c r="A3" i="33" a="1"/>
  <c r="A3" i="33"/>
  <c r="A3" i="32" a="1"/>
  <c r="A3" i="32"/>
  <c r="AB155" i="21"/>
  <c r="AB449" i="21"/>
  <c r="X21" i="21"/>
  <c r="AB21" i="21"/>
  <c r="X81" i="21"/>
  <c r="X60" i="21"/>
  <c r="X49" i="21"/>
  <c r="X32" i="21"/>
  <c r="AB32" i="21"/>
  <c r="X9" i="21"/>
  <c r="AB9" i="21"/>
  <c r="X11" i="21"/>
  <c r="AB11" i="21"/>
  <c r="X71" i="21"/>
  <c r="AB71" i="21"/>
  <c r="X56" i="21"/>
  <c r="AB56" i="21"/>
  <c r="X130" i="21"/>
  <c r="AB130" i="21"/>
  <c r="X34" i="21"/>
  <c r="X62" i="21"/>
  <c r="AB62" i="21"/>
  <c r="X110" i="21"/>
  <c r="AB110" i="21"/>
  <c r="X101" i="21"/>
  <c r="X112" i="21"/>
  <c r="AB112" i="21"/>
  <c r="X166" i="21"/>
  <c r="AB166" i="21"/>
  <c r="X138" i="21"/>
  <c r="X123" i="21"/>
  <c r="X147" i="21"/>
  <c r="AB147" i="21"/>
  <c r="X181" i="21"/>
  <c r="AB181" i="21"/>
  <c r="X135" i="21"/>
  <c r="AB135" i="21"/>
  <c r="X128" i="21"/>
  <c r="AB128" i="21"/>
  <c r="X222" i="21"/>
  <c r="AB222" i="21"/>
  <c r="X173" i="21"/>
  <c r="X126" i="21"/>
  <c r="X210" i="21"/>
  <c r="AB210" i="21"/>
  <c r="X217" i="21"/>
  <c r="X167" i="21"/>
  <c r="X249" i="21"/>
  <c r="AB249" i="21"/>
  <c r="X229" i="21"/>
  <c r="AB229" i="21"/>
  <c r="X206" i="21"/>
  <c r="AB206" i="21"/>
  <c r="X272" i="21"/>
  <c r="AB272" i="21"/>
  <c r="W72" i="21"/>
  <c r="W55" i="21"/>
  <c r="W38" i="21"/>
  <c r="W60" i="21"/>
  <c r="W74" i="21"/>
  <c r="W49" i="21"/>
  <c r="W40" i="21"/>
  <c r="W70" i="21"/>
  <c r="W53" i="21"/>
  <c r="W67" i="21"/>
  <c r="W42" i="21"/>
  <c r="W41" i="21"/>
  <c r="W71" i="21"/>
  <c r="A219" i="29"/>
  <c r="A219" i="31"/>
  <c r="A188" i="31"/>
  <c r="A152" i="29"/>
  <c r="A124" i="31"/>
  <c r="A88" i="29"/>
  <c r="A60" i="31"/>
  <c r="A208" i="31"/>
  <c r="W183" i="21"/>
  <c r="AK245" i="21"/>
  <c r="AL245" i="21"/>
  <c r="AK423" i="21"/>
  <c r="AL423" i="21"/>
  <c r="AL194" i="21"/>
  <c r="AK194" i="21"/>
  <c r="AK475" i="21"/>
  <c r="AL475" i="21"/>
  <c r="AL379" i="21"/>
  <c r="AK379" i="21"/>
  <c r="AK25" i="21"/>
  <c r="AL25" i="21"/>
  <c r="AK441" i="21"/>
  <c r="AL441" i="21"/>
  <c r="AK446" i="21"/>
  <c r="AL446" i="21"/>
  <c r="AJ145" i="21"/>
  <c r="AI145" i="21"/>
  <c r="AN145" i="21"/>
  <c r="F145" i="29"/>
  <c r="AL145" i="21"/>
  <c r="AK145" i="21"/>
  <c r="AL115" i="21"/>
  <c r="AJ115" i="21"/>
  <c r="AI115" i="21"/>
  <c r="AK115" i="21"/>
  <c r="AJ65" i="21"/>
  <c r="AI65" i="21"/>
  <c r="AJ335" i="21"/>
  <c r="AI335" i="21"/>
  <c r="AK386" i="21"/>
  <c r="AI386" i="21"/>
  <c r="AL386" i="21"/>
  <c r="AJ386" i="21"/>
  <c r="AJ478" i="21"/>
  <c r="AI478" i="21"/>
  <c r="AJ200" i="21"/>
  <c r="AI200" i="21"/>
  <c r="AI51" i="21"/>
  <c r="AJ51" i="21"/>
  <c r="AI415" i="21"/>
  <c r="AJ415" i="21"/>
  <c r="AI19" i="21"/>
  <c r="AN19" i="21"/>
  <c r="F19" i="29"/>
  <c r="AJ19" i="21"/>
  <c r="AI71" i="21"/>
  <c r="AJ71" i="21"/>
  <c r="AK74" i="21"/>
  <c r="AL74" i="21"/>
  <c r="AJ74" i="21"/>
  <c r="AI74" i="21"/>
  <c r="AI249" i="21"/>
  <c r="AJ249" i="21"/>
  <c r="AJ32" i="21"/>
  <c r="AI32" i="21"/>
  <c r="AN32" i="21"/>
  <c r="F32" i="29"/>
  <c r="AK133" i="21"/>
  <c r="AL133" i="21"/>
  <c r="AL276" i="21"/>
  <c r="AK276" i="21"/>
  <c r="AL366" i="21"/>
  <c r="AK366" i="21"/>
  <c r="AK479" i="21"/>
  <c r="AL479" i="21"/>
  <c r="AK28" i="21"/>
  <c r="AL28" i="21"/>
  <c r="AG231" i="21"/>
  <c r="AK332" i="21"/>
  <c r="AL332" i="21"/>
  <c r="AL493" i="21"/>
  <c r="AK493" i="21"/>
  <c r="AK126" i="21"/>
  <c r="AL54" i="21"/>
  <c r="AK54" i="21"/>
  <c r="AK204" i="21"/>
  <c r="AL204" i="21"/>
  <c r="AK277" i="21"/>
  <c r="AL277" i="21"/>
  <c r="AL463" i="21"/>
  <c r="AK463" i="21"/>
  <c r="AK485" i="21"/>
  <c r="AL485" i="21"/>
  <c r="AK400" i="21"/>
  <c r="AL400" i="21"/>
  <c r="AK294" i="21"/>
  <c r="AL294" i="21"/>
  <c r="AG166" i="21"/>
  <c r="AK166" i="21"/>
  <c r="AK29" i="21"/>
  <c r="AL29" i="21"/>
  <c r="AK230" i="21"/>
  <c r="AL230" i="21"/>
  <c r="AK310" i="21"/>
  <c r="AL310" i="21"/>
  <c r="AL378" i="21"/>
  <c r="AK378" i="21"/>
  <c r="AK413" i="21"/>
  <c r="AL413" i="21"/>
  <c r="AK321" i="21"/>
  <c r="AL321" i="21"/>
  <c r="AG210" i="21"/>
  <c r="AK246" i="21"/>
  <c r="AL246" i="21"/>
  <c r="AG62" i="21"/>
  <c r="AG32" i="21"/>
  <c r="AK483" i="21"/>
  <c r="AL483" i="21"/>
  <c r="AL376" i="21"/>
  <c r="AK376" i="21"/>
  <c r="AL284" i="21"/>
  <c r="AK284" i="21"/>
  <c r="AG219" i="21"/>
  <c r="AL500" i="21"/>
  <c r="AK500" i="21"/>
  <c r="AL360" i="21"/>
  <c r="AK360" i="21"/>
  <c r="AK395" i="21"/>
  <c r="AL395" i="21"/>
  <c r="AK351" i="21"/>
  <c r="AL351" i="21"/>
  <c r="AL262" i="21"/>
  <c r="AK262" i="21"/>
  <c r="AL198" i="21"/>
  <c r="AK198" i="21"/>
  <c r="AG50" i="21"/>
  <c r="AL202" i="21"/>
  <c r="AK202" i="21"/>
  <c r="AG243" i="21"/>
  <c r="AL335" i="21"/>
  <c r="AK335" i="21"/>
  <c r="AL444" i="21"/>
  <c r="AK444" i="21"/>
  <c r="AI162" i="21"/>
  <c r="AJ162" i="21"/>
  <c r="AK162" i="21"/>
  <c r="AL162" i="21"/>
  <c r="AJ161" i="21"/>
  <c r="AI161" i="21"/>
  <c r="AL161" i="21"/>
  <c r="AK161" i="21"/>
  <c r="AI97" i="21"/>
  <c r="AN97" i="21"/>
  <c r="F97" i="29"/>
  <c r="AJ97" i="21"/>
  <c r="AI120" i="21"/>
  <c r="AJ120" i="21"/>
  <c r="AL120" i="21"/>
  <c r="AK120" i="21"/>
  <c r="AJ151" i="21"/>
  <c r="AI151" i="21"/>
  <c r="AN151" i="21"/>
  <c r="F151" i="29"/>
  <c r="AK151" i="21"/>
  <c r="AL151" i="21"/>
  <c r="AJ174" i="21"/>
  <c r="AK174" i="21"/>
  <c r="AI174" i="21"/>
  <c r="AN174" i="21"/>
  <c r="F174" i="29"/>
  <c r="AL174" i="21"/>
  <c r="AI108" i="21"/>
  <c r="AN108" i="21"/>
  <c r="F108" i="29"/>
  <c r="AJ108" i="21"/>
  <c r="AK108" i="21"/>
  <c r="AL108" i="21"/>
  <c r="AL90" i="21"/>
  <c r="AI90" i="21"/>
  <c r="AN90" i="21"/>
  <c r="F90" i="29"/>
  <c r="AJ90" i="21"/>
  <c r="AK90" i="21"/>
  <c r="AL167" i="21"/>
  <c r="AJ93" i="21"/>
  <c r="AK93" i="21"/>
  <c r="AI93" i="21"/>
  <c r="AL93" i="21"/>
  <c r="AI332" i="21"/>
  <c r="AJ332" i="21"/>
  <c r="AI321" i="21"/>
  <c r="AJ58" i="21"/>
  <c r="AI58" i="21"/>
  <c r="AI403" i="21"/>
  <c r="AJ403" i="21"/>
  <c r="AJ284" i="21"/>
  <c r="AI284" i="21"/>
  <c r="AJ223" i="21"/>
  <c r="AI223" i="21"/>
  <c r="AI265" i="21"/>
  <c r="AJ265" i="21"/>
  <c r="AI288" i="21"/>
  <c r="AJ288" i="21"/>
  <c r="AJ59" i="21"/>
  <c r="AI59" i="21"/>
  <c r="AI180" i="21"/>
  <c r="AK180" i="21"/>
  <c r="AJ180" i="21"/>
  <c r="AL180" i="21"/>
  <c r="AJ406" i="21"/>
  <c r="AI406" i="21"/>
  <c r="AJ367" i="21"/>
  <c r="AI367" i="21"/>
  <c r="AI185" i="21"/>
  <c r="AJ185" i="21"/>
  <c r="AI52" i="21"/>
  <c r="AN52" i="21"/>
  <c r="F52" i="29"/>
  <c r="AJ52" i="21"/>
  <c r="AK52" i="21"/>
  <c r="AL52" i="21"/>
  <c r="AJ197" i="21"/>
  <c r="AI197" i="21"/>
  <c r="AI422" i="21"/>
  <c r="AJ422" i="21"/>
  <c r="AJ447" i="21"/>
  <c r="AI447" i="21"/>
  <c r="AJ313" i="21"/>
  <c r="AI313" i="21"/>
  <c r="AL313" i="21"/>
  <c r="AK313" i="21"/>
  <c r="AI364" i="21"/>
  <c r="AJ364" i="21"/>
  <c r="AL364" i="21"/>
  <c r="AK364" i="21"/>
  <c r="AJ30" i="21"/>
  <c r="AI30" i="21"/>
  <c r="AI366" i="21"/>
  <c r="AJ366" i="21"/>
  <c r="AI255" i="21"/>
  <c r="AJ255" i="21"/>
  <c r="AJ304" i="21"/>
  <c r="AI304" i="21"/>
  <c r="AJ490" i="21"/>
  <c r="AI490" i="21"/>
  <c r="AI256" i="21"/>
  <c r="AJ256" i="21"/>
  <c r="AI473" i="21"/>
  <c r="AJ473" i="21"/>
  <c r="AJ417" i="21"/>
  <c r="AI417" i="21"/>
  <c r="AL417" i="21"/>
  <c r="AK417" i="21"/>
  <c r="AJ182" i="21"/>
  <c r="AI182" i="21"/>
  <c r="AK182" i="21"/>
  <c r="AK236" i="21"/>
  <c r="AI236" i="21"/>
  <c r="AJ236" i="21"/>
  <c r="AL236" i="21"/>
  <c r="AI414" i="21"/>
  <c r="AJ414" i="21"/>
  <c r="AI292" i="21"/>
  <c r="AJ292" i="21"/>
  <c r="AJ191" i="21"/>
  <c r="AI191" i="21"/>
  <c r="AI349" i="21"/>
  <c r="AJ349" i="21"/>
  <c r="AJ419" i="21"/>
  <c r="AK419" i="21"/>
  <c r="AI419" i="21"/>
  <c r="AL419" i="21"/>
  <c r="AI356" i="21"/>
  <c r="AJ205" i="21"/>
  <c r="AI205" i="21"/>
  <c r="AI235" i="21"/>
  <c r="AJ235" i="21"/>
  <c r="AJ230" i="21"/>
  <c r="AI230" i="21"/>
  <c r="AI494" i="21"/>
  <c r="AJ494" i="21"/>
  <c r="AJ409" i="21"/>
  <c r="AI409" i="21"/>
  <c r="AJ314" i="21"/>
  <c r="AI314" i="21"/>
  <c r="AI190" i="21"/>
  <c r="AJ190" i="21"/>
  <c r="AI382" i="21"/>
  <c r="AJ382" i="21"/>
  <c r="AJ192" i="21"/>
  <c r="AL192" i="21"/>
  <c r="AK192" i="21"/>
  <c r="AI192" i="21"/>
  <c r="AJ451" i="21"/>
  <c r="AI451" i="21"/>
  <c r="AJ301" i="21"/>
  <c r="AI301" i="21"/>
  <c r="AI267" i="21"/>
  <c r="AJ267" i="21"/>
  <c r="AJ261" i="21"/>
  <c r="AI261" i="21"/>
  <c r="AK443" i="21"/>
  <c r="AL443" i="21"/>
  <c r="AK15" i="21"/>
  <c r="AL15" i="21"/>
  <c r="AK39" i="21"/>
  <c r="AL39" i="21"/>
  <c r="AL11" i="21"/>
  <c r="AK11" i="21"/>
  <c r="AL460" i="21"/>
  <c r="AK460" i="21"/>
  <c r="AG140" i="21"/>
  <c r="AL436" i="21"/>
  <c r="AK436" i="21"/>
  <c r="AI165" i="21"/>
  <c r="AJ165" i="21"/>
  <c r="AK165" i="21"/>
  <c r="AL165" i="21"/>
  <c r="AI184" i="21"/>
  <c r="AL184" i="21"/>
  <c r="AJ184" i="21"/>
  <c r="AK184" i="21"/>
  <c r="AI480" i="21"/>
  <c r="AJ480" i="21"/>
  <c r="AI258" i="21"/>
  <c r="AJ258" i="21"/>
  <c r="AI448" i="21"/>
  <c r="AJ448" i="21"/>
  <c r="AI44" i="21"/>
  <c r="AJ44" i="21"/>
  <c r="AL44" i="21"/>
  <c r="AK44" i="21"/>
  <c r="AK178" i="21"/>
  <c r="AL178" i="21"/>
  <c r="AL226" i="21"/>
  <c r="AK226" i="21"/>
  <c r="AL452" i="21"/>
  <c r="AK452" i="21"/>
  <c r="AL458" i="21"/>
  <c r="AK458" i="21"/>
  <c r="AL58" i="21"/>
  <c r="AK58" i="21"/>
  <c r="AK244" i="21"/>
  <c r="AL244" i="21"/>
  <c r="AL388" i="21"/>
  <c r="AK388" i="21"/>
  <c r="AK469" i="21"/>
  <c r="AL469" i="21"/>
  <c r="AI369" i="21"/>
  <c r="AJ369" i="21"/>
  <c r="AK290" i="21"/>
  <c r="AL290" i="21"/>
  <c r="AK435" i="21"/>
  <c r="AL435" i="21"/>
  <c r="AK491" i="21"/>
  <c r="AL491" i="21"/>
  <c r="AL363" i="21"/>
  <c r="AK363" i="21"/>
  <c r="AG56" i="21"/>
  <c r="AK256" i="21"/>
  <c r="AL256" i="21"/>
  <c r="AK356" i="21"/>
  <c r="AL356" i="21"/>
  <c r="AL325" i="21"/>
  <c r="AK325" i="21"/>
  <c r="AL418" i="21"/>
  <c r="AK418" i="21"/>
  <c r="AL415" i="21"/>
  <c r="AK415" i="21"/>
  <c r="AK305" i="21"/>
  <c r="AL305" i="21"/>
  <c r="AL271" i="21"/>
  <c r="AK271" i="21"/>
  <c r="AG172" i="21"/>
  <c r="AK172" i="21"/>
  <c r="AK448" i="21"/>
  <c r="AL448" i="21"/>
  <c r="AK333" i="21"/>
  <c r="AL333" i="21"/>
  <c r="AL389" i="21"/>
  <c r="AK389" i="21"/>
  <c r="AK303" i="21"/>
  <c r="AL303" i="21"/>
  <c r="AL212" i="21"/>
  <c r="AK212" i="21"/>
  <c r="AK373" i="21"/>
  <c r="AL373" i="21"/>
  <c r="AK473" i="21"/>
  <c r="AL473" i="21"/>
  <c r="AK304" i="21"/>
  <c r="AL304" i="21"/>
  <c r="AK309" i="21"/>
  <c r="AL309" i="21"/>
  <c r="AK237" i="21"/>
  <c r="AL237" i="21"/>
  <c r="AL216" i="21"/>
  <c r="AK216" i="21"/>
  <c r="AG94" i="21"/>
  <c r="AL94" i="21"/>
  <c r="AG64" i="21"/>
  <c r="AL26" i="21"/>
  <c r="AK26" i="21"/>
  <c r="AG249" i="21"/>
  <c r="AL425" i="21"/>
  <c r="AK425" i="21"/>
  <c r="AK438" i="21"/>
  <c r="AL438" i="21"/>
  <c r="AI147" i="21"/>
  <c r="AN147" i="21"/>
  <c r="F147" i="29"/>
  <c r="AJ147" i="21"/>
  <c r="AJ131" i="21"/>
  <c r="AI131" i="21"/>
  <c r="AN131" i="21"/>
  <c r="F131" i="29"/>
  <c r="AK131" i="21"/>
  <c r="AL131" i="21"/>
  <c r="AI146" i="21"/>
  <c r="AN146" i="21"/>
  <c r="F146" i="29"/>
  <c r="AL146" i="21"/>
  <c r="AJ146" i="21"/>
  <c r="AK146" i="21"/>
  <c r="AL82" i="21"/>
  <c r="AJ82" i="21"/>
  <c r="AK82" i="21"/>
  <c r="AI82" i="21"/>
  <c r="AJ105" i="21"/>
  <c r="AI105" i="21"/>
  <c r="AK105" i="21"/>
  <c r="AL105" i="21"/>
  <c r="AI136" i="21"/>
  <c r="AJ136" i="21"/>
  <c r="AL136" i="21"/>
  <c r="AK136" i="21"/>
  <c r="AI159" i="21"/>
  <c r="AN159" i="21"/>
  <c r="F159" i="29"/>
  <c r="AJ159" i="21"/>
  <c r="AK159" i="21"/>
  <c r="AL159" i="21"/>
  <c r="AJ94" i="21"/>
  <c r="AI94" i="21"/>
  <c r="AN94" i="21"/>
  <c r="F94" i="29"/>
  <c r="AK94" i="21"/>
  <c r="AJ101" i="21"/>
  <c r="AI154" i="21"/>
  <c r="AJ154" i="21"/>
  <c r="AL154" i="21"/>
  <c r="AK154" i="21"/>
  <c r="AJ128" i="21"/>
  <c r="AI128" i="21"/>
  <c r="AN128" i="21"/>
  <c r="F128" i="29"/>
  <c r="AL157" i="21"/>
  <c r="AJ157" i="21"/>
  <c r="AI157" i="21"/>
  <c r="AK157" i="21"/>
  <c r="AI186" i="21"/>
  <c r="AN186" i="21"/>
  <c r="F186" i="29"/>
  <c r="AJ186" i="21"/>
  <c r="AI435" i="21"/>
  <c r="AJ435" i="21"/>
  <c r="AJ317" i="21"/>
  <c r="AI317" i="21"/>
  <c r="AJ246" i="21"/>
  <c r="AI246" i="21"/>
  <c r="AI329" i="21"/>
  <c r="AJ329" i="21"/>
  <c r="AJ260" i="21"/>
  <c r="AK260" i="21"/>
  <c r="AI260" i="21"/>
  <c r="AL260" i="21"/>
  <c r="AI373" i="21"/>
  <c r="AJ373" i="21"/>
  <c r="AI446" i="21"/>
  <c r="AJ446" i="21"/>
  <c r="AI471" i="21"/>
  <c r="AJ471" i="21"/>
  <c r="AJ233" i="21"/>
  <c r="AI233" i="21"/>
  <c r="AJ50" i="21"/>
  <c r="AI50" i="21"/>
  <c r="AJ277" i="21"/>
  <c r="AI277" i="21"/>
  <c r="AJ7" i="21"/>
  <c r="AI7" i="21"/>
  <c r="AN7" i="21"/>
  <c r="F7" i="29"/>
  <c r="AK487" i="21"/>
  <c r="AL487" i="21"/>
  <c r="AI410" i="21"/>
  <c r="AL410" i="21"/>
  <c r="AJ410" i="21"/>
  <c r="AK410" i="21"/>
  <c r="AJ398" i="21"/>
  <c r="AI398" i="21"/>
  <c r="AL398" i="21"/>
  <c r="AK398" i="21"/>
  <c r="AJ287" i="21"/>
  <c r="AI287" i="21"/>
  <c r="AI433" i="21"/>
  <c r="AJ433" i="21"/>
  <c r="AL433" i="21"/>
  <c r="AJ336" i="21"/>
  <c r="AI336" i="21"/>
  <c r="AI344" i="21"/>
  <c r="AJ344" i="21"/>
  <c r="AL344" i="21"/>
  <c r="AK344" i="21"/>
  <c r="AI489" i="21"/>
  <c r="AJ489" i="21"/>
  <c r="AJ54" i="21"/>
  <c r="AI54" i="21"/>
  <c r="AI358" i="21"/>
  <c r="AJ358" i="21"/>
  <c r="AI46" i="21"/>
  <c r="AJ475" i="21"/>
  <c r="AI475" i="21"/>
  <c r="AI408" i="21"/>
  <c r="AL408" i="21"/>
  <c r="AJ408" i="21"/>
  <c r="AK408" i="21"/>
  <c r="AJ307" i="21"/>
  <c r="AI307" i="21"/>
  <c r="AL182" i="21"/>
  <c r="AJ262" i="21"/>
  <c r="AI262" i="21"/>
  <c r="AJ405" i="21"/>
  <c r="AI405" i="21"/>
  <c r="AL405" i="21"/>
  <c r="AK405" i="21"/>
  <c r="AI234" i="21"/>
  <c r="AJ234" i="21"/>
  <c r="AI27" i="21"/>
  <c r="AN27" i="21"/>
  <c r="F27" i="29"/>
  <c r="AJ27" i="21"/>
  <c r="AJ189" i="21"/>
  <c r="AK189" i="21"/>
  <c r="AI189" i="21"/>
  <c r="AL189" i="21"/>
  <c r="AJ226" i="21"/>
  <c r="AI226" i="21"/>
  <c r="AI3" i="21"/>
  <c r="AN3" i="21"/>
  <c r="F3" i="29"/>
  <c r="AJ3" i="21"/>
  <c r="AJ133" i="21"/>
  <c r="AI133" i="21"/>
  <c r="AJ194" i="21"/>
  <c r="AI194" i="21"/>
  <c r="AK51" i="21"/>
  <c r="AL51" i="21"/>
  <c r="AK205" i="21"/>
  <c r="AL205" i="21"/>
  <c r="AL383" i="21"/>
  <c r="AK383" i="21"/>
  <c r="AK235" i="21"/>
  <c r="AL235" i="21"/>
  <c r="AK238" i="21"/>
  <c r="AL238" i="21"/>
  <c r="AK267" i="21"/>
  <c r="AL267" i="21"/>
  <c r="AI169" i="21"/>
  <c r="AJ169" i="21"/>
  <c r="AL169" i="21"/>
  <c r="AK169" i="21"/>
  <c r="AL85" i="21"/>
  <c r="AJ85" i="21"/>
  <c r="AI85" i="21"/>
  <c r="AK85" i="21"/>
  <c r="AI294" i="21"/>
  <c r="AJ294" i="21"/>
  <c r="AJ334" i="21"/>
  <c r="AI334" i="21"/>
  <c r="AK334" i="21"/>
  <c r="AL334" i="21"/>
  <c r="AJ385" i="21"/>
  <c r="AI385" i="21"/>
  <c r="AI305" i="21"/>
  <c r="AJ305" i="21"/>
  <c r="AJ411" i="21"/>
  <c r="AI411" i="21"/>
  <c r="AB49" i="21"/>
  <c r="AJ49" i="21"/>
  <c r="AG49" i="21"/>
  <c r="AL49" i="21"/>
  <c r="AB217" i="21"/>
  <c r="AG217" i="21"/>
  <c r="AG9" i="21"/>
  <c r="AK261" i="21"/>
  <c r="AL261" i="21"/>
  <c r="AL396" i="21"/>
  <c r="AK396" i="21"/>
  <c r="AK406" i="21"/>
  <c r="AL406" i="21"/>
  <c r="AK208" i="21"/>
  <c r="AL208" i="21"/>
  <c r="AL368" i="21"/>
  <c r="AK368" i="21"/>
  <c r="AK484" i="21"/>
  <c r="AL484" i="21"/>
  <c r="AK24" i="21"/>
  <c r="AL24" i="21"/>
  <c r="AG229" i="21"/>
  <c r="AK187" i="21"/>
  <c r="AL187" i="21"/>
  <c r="AL372" i="21"/>
  <c r="AK372" i="21"/>
  <c r="AL414" i="21"/>
  <c r="AK414" i="21"/>
  <c r="AL501" i="21"/>
  <c r="AK501" i="21"/>
  <c r="AL259" i="21"/>
  <c r="AK259" i="21"/>
  <c r="AK461" i="21"/>
  <c r="AL461" i="21"/>
  <c r="AL392" i="21"/>
  <c r="AK392" i="21"/>
  <c r="AL407" i="21"/>
  <c r="AK407" i="21"/>
  <c r="AL338" i="21"/>
  <c r="AK338" i="21"/>
  <c r="AK248" i="21"/>
  <c r="AL248" i="21"/>
  <c r="AL467" i="21"/>
  <c r="AK467" i="21"/>
  <c r="AK434" i="21"/>
  <c r="AL434" i="21"/>
  <c r="AL330" i="21"/>
  <c r="AK330" i="21"/>
  <c r="AK214" i="21"/>
  <c r="AL214" i="21"/>
  <c r="AL191" i="21"/>
  <c r="AK191" i="21"/>
  <c r="AG65" i="21"/>
  <c r="AK23" i="21"/>
  <c r="AL23" i="21"/>
  <c r="AG397" i="21"/>
  <c r="AL459" i="21"/>
  <c r="AK459" i="21"/>
  <c r="AK362" i="21"/>
  <c r="AL362" i="21"/>
  <c r="AL234" i="21"/>
  <c r="AK234" i="21"/>
  <c r="AL255" i="21"/>
  <c r="AK255" i="21"/>
  <c r="AG17" i="21"/>
  <c r="AK79" i="21"/>
  <c r="AL79" i="21"/>
  <c r="AK228" i="21"/>
  <c r="AL228" i="21"/>
  <c r="AK384" i="21"/>
  <c r="AL384" i="21"/>
  <c r="AK486" i="21"/>
  <c r="AL486" i="21"/>
  <c r="AJ140" i="21"/>
  <c r="AL140" i="21"/>
  <c r="AI140" i="21"/>
  <c r="AK140" i="21"/>
  <c r="AL116" i="21"/>
  <c r="AJ116" i="21"/>
  <c r="AK116" i="21"/>
  <c r="AI116" i="21"/>
  <c r="AI139" i="21"/>
  <c r="AJ139" i="21"/>
  <c r="AK139" i="21"/>
  <c r="AL139" i="21"/>
  <c r="AJ170" i="21"/>
  <c r="AK170" i="21"/>
  <c r="AI170" i="21"/>
  <c r="AN170" i="21"/>
  <c r="F170" i="29"/>
  <c r="AL170" i="21"/>
  <c r="AI98" i="21"/>
  <c r="AN98" i="21"/>
  <c r="F98" i="29"/>
  <c r="AK98" i="21"/>
  <c r="AJ98" i="21"/>
  <c r="AL98" i="21"/>
  <c r="AK113" i="21"/>
  <c r="AI113" i="21"/>
  <c r="AJ113" i="21"/>
  <c r="AL113" i="21"/>
  <c r="AJ144" i="21"/>
  <c r="AI144" i="21"/>
  <c r="AL144" i="21"/>
  <c r="AK144" i="21"/>
  <c r="AJ87" i="21"/>
  <c r="AI87" i="21"/>
  <c r="AK87" i="21"/>
  <c r="AL87" i="21"/>
  <c r="AI102" i="21"/>
  <c r="AJ102" i="21"/>
  <c r="AL102" i="21"/>
  <c r="AK102" i="21"/>
  <c r="AL123" i="21"/>
  <c r="AI89" i="21"/>
  <c r="AL89" i="21"/>
  <c r="AJ89" i="21"/>
  <c r="AK89" i="21"/>
  <c r="AI86" i="21"/>
  <c r="AL86" i="21"/>
  <c r="AK86" i="21"/>
  <c r="AJ86" i="21"/>
  <c r="AI327" i="21"/>
  <c r="AJ327" i="21"/>
  <c r="AJ250" i="21"/>
  <c r="AI250" i="21"/>
  <c r="AI467" i="21"/>
  <c r="AJ467" i="21"/>
  <c r="AJ396" i="21"/>
  <c r="AI396" i="21"/>
  <c r="AJ357" i="21"/>
  <c r="AI357" i="21"/>
  <c r="AK357" i="21"/>
  <c r="AJ318" i="21"/>
  <c r="AI318" i="21"/>
  <c r="AI432" i="21"/>
  <c r="AJ432" i="21"/>
  <c r="AJ425" i="21"/>
  <c r="AI425" i="21"/>
  <c r="AJ275" i="21"/>
  <c r="AI275" i="21"/>
  <c r="AI372" i="21"/>
  <c r="AJ372" i="21"/>
  <c r="AI413" i="21"/>
  <c r="AJ413" i="21"/>
  <c r="AI486" i="21"/>
  <c r="AJ486" i="21"/>
  <c r="AJ400" i="21"/>
  <c r="AI400" i="21"/>
  <c r="AJ297" i="21"/>
  <c r="AI297" i="21"/>
  <c r="AI282" i="21"/>
  <c r="AJ282" i="21"/>
  <c r="AJ259" i="21"/>
  <c r="AI259" i="21"/>
  <c r="AJ316" i="21"/>
  <c r="AI316" i="21"/>
  <c r="AL316" i="21"/>
  <c r="AK316" i="21"/>
  <c r="AI429" i="21"/>
  <c r="AL429" i="21"/>
  <c r="AJ429" i="21"/>
  <c r="AK429" i="21"/>
  <c r="AI472" i="21"/>
  <c r="AJ472" i="21"/>
  <c r="AJ470" i="21"/>
  <c r="AL470" i="21"/>
  <c r="AK470" i="21"/>
  <c r="AI470" i="21"/>
  <c r="AJ319" i="21"/>
  <c r="AI319" i="21"/>
  <c r="AK319" i="21"/>
  <c r="AJ201" i="21"/>
  <c r="AI201" i="21"/>
  <c r="AI482" i="21"/>
  <c r="AJ482" i="21"/>
  <c r="AJ376" i="21"/>
  <c r="AI376" i="21"/>
  <c r="AJ248" i="21"/>
  <c r="AI248" i="21"/>
  <c r="AJ445" i="21"/>
  <c r="AL445" i="21"/>
  <c r="AK445" i="21"/>
  <c r="AI445" i="21"/>
  <c r="AJ491" i="21"/>
  <c r="AI491" i="21"/>
  <c r="AJ465" i="21"/>
  <c r="AI465" i="21"/>
  <c r="AI418" i="21"/>
  <c r="AJ418" i="21"/>
  <c r="AJ371" i="21"/>
  <c r="AI371" i="21"/>
  <c r="AI431" i="21"/>
  <c r="AJ431" i="21"/>
  <c r="AK431" i="21"/>
  <c r="AL431" i="21"/>
  <c r="AI29" i="21"/>
  <c r="AJ29" i="21"/>
  <c r="AK251" i="21"/>
  <c r="AI251" i="21"/>
  <c r="AJ251" i="21"/>
  <c r="AL251" i="21"/>
  <c r="AI69" i="21"/>
  <c r="AJ69" i="21"/>
  <c r="AJ497" i="21"/>
  <c r="AI237" i="21"/>
  <c r="AJ237" i="21"/>
  <c r="AI18" i="21"/>
  <c r="AN18" i="21"/>
  <c r="F18" i="29"/>
  <c r="AJ18" i="21"/>
  <c r="AJ295" i="21"/>
  <c r="AI295" i="21"/>
  <c r="AJ219" i="21"/>
  <c r="AI219" i="21"/>
  <c r="AI252" i="21"/>
  <c r="AJ252" i="21"/>
  <c r="AI380" i="21"/>
  <c r="AJ380" i="21"/>
  <c r="AJ500" i="21"/>
  <c r="AI500" i="21"/>
  <c r="AI257" i="21"/>
  <c r="AL257" i="21"/>
  <c r="AK257" i="21"/>
  <c r="AJ257" i="21"/>
  <c r="AI298" i="21"/>
  <c r="AJ298" i="21"/>
  <c r="AJ460" i="21"/>
  <c r="AI460" i="21"/>
  <c r="AJ202" i="21"/>
  <c r="AI202" i="21"/>
  <c r="AI9" i="21"/>
  <c r="AJ9" i="21"/>
  <c r="AL358" i="21"/>
  <c r="AK358" i="21"/>
  <c r="AK428" i="21"/>
  <c r="AL428" i="21"/>
  <c r="AL346" i="21"/>
  <c r="AK346" i="21"/>
  <c r="AL275" i="21"/>
  <c r="AK275" i="21"/>
  <c r="AL285" i="21"/>
  <c r="AK285" i="21"/>
  <c r="AL201" i="21"/>
  <c r="AK201" i="21"/>
  <c r="AL31" i="21"/>
  <c r="AK31" i="21"/>
  <c r="AI112" i="21"/>
  <c r="AJ112" i="21"/>
  <c r="AK112" i="21"/>
  <c r="AJ121" i="21"/>
  <c r="AI121" i="21"/>
  <c r="AN121" i="21"/>
  <c r="F121" i="29"/>
  <c r="AK121" i="21"/>
  <c r="AL121" i="21"/>
  <c r="AI299" i="21"/>
  <c r="AJ299" i="21"/>
  <c r="AI474" i="21"/>
  <c r="AJ474" i="21"/>
  <c r="AK474" i="21"/>
  <c r="AL474" i="21"/>
  <c r="AJ441" i="21"/>
  <c r="AI441" i="21"/>
  <c r="AI348" i="21"/>
  <c r="AJ348" i="21"/>
  <c r="AI285" i="21"/>
  <c r="AJ285" i="21"/>
  <c r="AI64" i="21"/>
  <c r="AJ64" i="21"/>
  <c r="AI41" i="21"/>
  <c r="AJ41" i="21"/>
  <c r="AL41" i="21"/>
  <c r="AK41" i="21"/>
  <c r="AI181" i="21"/>
  <c r="AJ181" i="21"/>
  <c r="AJ67" i="21"/>
  <c r="AK67" i="21"/>
  <c r="AI67" i="21"/>
  <c r="AL67" i="21"/>
  <c r="AJ55" i="21"/>
  <c r="AI55" i="21"/>
  <c r="AK55" i="21"/>
  <c r="AL55" i="21"/>
  <c r="AI210" i="21"/>
  <c r="AJ210" i="21"/>
  <c r="AB123" i="21"/>
  <c r="AJ123" i="21"/>
  <c r="AG123" i="21"/>
  <c r="AK123" i="21"/>
  <c r="AB81" i="21"/>
  <c r="AJ81" i="21"/>
  <c r="AG81" i="21"/>
  <c r="AL81" i="21"/>
  <c r="AK8" i="21"/>
  <c r="AL8" i="21"/>
  <c r="AL213" i="21"/>
  <c r="AK213" i="21"/>
  <c r="AL343" i="21"/>
  <c r="AK343" i="21"/>
  <c r="AK299" i="21"/>
  <c r="AL299" i="21"/>
  <c r="AL455" i="21"/>
  <c r="AK455" i="21"/>
  <c r="AK282" i="21"/>
  <c r="AL282" i="21"/>
  <c r="AL369" i="21"/>
  <c r="AK369" i="21"/>
  <c r="AL495" i="21"/>
  <c r="AK495" i="21"/>
  <c r="AL35" i="21"/>
  <c r="AK35" i="21"/>
  <c r="AL13" i="21"/>
  <c r="AK13" i="21"/>
  <c r="AK224" i="21"/>
  <c r="AL224" i="21"/>
  <c r="AK302" i="21"/>
  <c r="AL302" i="21"/>
  <c r="AK454" i="21"/>
  <c r="AL454" i="21"/>
  <c r="AK498" i="21"/>
  <c r="AL498" i="21"/>
  <c r="AK349" i="21"/>
  <c r="AL349" i="21"/>
  <c r="AK450" i="21"/>
  <c r="AL450" i="21"/>
  <c r="AG83" i="21"/>
  <c r="AL83" i="21"/>
  <c r="AL301" i="21"/>
  <c r="AK301" i="21"/>
  <c r="AK382" i="21"/>
  <c r="AL382" i="21"/>
  <c r="AK494" i="21"/>
  <c r="AL494" i="21"/>
  <c r="AL488" i="21"/>
  <c r="AK488" i="21"/>
  <c r="AL367" i="21"/>
  <c r="AK367" i="21"/>
  <c r="AG232" i="21"/>
  <c r="AL221" i="21"/>
  <c r="AK221" i="21"/>
  <c r="AK59" i="21"/>
  <c r="AL59" i="21"/>
  <c r="AL466" i="21"/>
  <c r="AK466" i="21"/>
  <c r="AK432" i="21"/>
  <c r="AL432" i="21"/>
  <c r="AK374" i="21"/>
  <c r="AL374" i="21"/>
  <c r="AK264" i="21"/>
  <c r="AL264" i="21"/>
  <c r="AG128" i="21"/>
  <c r="AK128" i="21"/>
  <c r="AG30" i="21"/>
  <c r="AK480" i="21"/>
  <c r="AL480" i="21"/>
  <c r="AK403" i="21"/>
  <c r="AL403" i="21"/>
  <c r="AL439" i="21"/>
  <c r="AK439" i="21"/>
  <c r="AK252" i="21"/>
  <c r="AL252" i="21"/>
  <c r="AG250" i="21"/>
  <c r="AG70" i="21"/>
  <c r="AL19" i="21"/>
  <c r="AK19" i="21"/>
  <c r="AG206" i="21"/>
  <c r="AG320" i="21"/>
  <c r="AL283" i="21"/>
  <c r="AK283" i="21"/>
  <c r="AI110" i="21"/>
  <c r="AJ110" i="21"/>
  <c r="AJ109" i="21"/>
  <c r="AK109" i="21"/>
  <c r="AL109" i="21"/>
  <c r="AI109" i="21"/>
  <c r="AN109" i="21"/>
  <c r="F109" i="29"/>
  <c r="AI132" i="21"/>
  <c r="AN132" i="21"/>
  <c r="F132" i="29"/>
  <c r="AJ132" i="21"/>
  <c r="AK132" i="21"/>
  <c r="AL132" i="21"/>
  <c r="AI163" i="21"/>
  <c r="AN163" i="21"/>
  <c r="F163" i="29"/>
  <c r="AJ163" i="21"/>
  <c r="AK163" i="21"/>
  <c r="AL163" i="21"/>
  <c r="AI83" i="21"/>
  <c r="AJ83" i="21"/>
  <c r="AJ106" i="21"/>
  <c r="AI106" i="21"/>
  <c r="AN106" i="21"/>
  <c r="F106" i="29"/>
  <c r="AL106" i="21"/>
  <c r="AK106" i="21"/>
  <c r="AJ129" i="21"/>
  <c r="AK129" i="21"/>
  <c r="AI129" i="21"/>
  <c r="AL129" i="21"/>
  <c r="AJ175" i="21"/>
  <c r="AK175" i="21"/>
  <c r="AI175" i="21"/>
  <c r="AN175" i="21"/>
  <c r="F175" i="29"/>
  <c r="AL175" i="21"/>
  <c r="AI166" i="21"/>
  <c r="AJ166" i="21"/>
  <c r="AJ92" i="21"/>
  <c r="AI92" i="21"/>
  <c r="AL92" i="21"/>
  <c r="AK92" i="21"/>
  <c r="AI153" i="21"/>
  <c r="AJ153" i="21"/>
  <c r="AI463" i="21"/>
  <c r="AJ463" i="21"/>
  <c r="AI266" i="21"/>
  <c r="AJ266" i="21"/>
  <c r="AJ499" i="21"/>
  <c r="AI499" i="21"/>
  <c r="AJ397" i="21"/>
  <c r="AI397" i="21"/>
  <c r="AJ390" i="21"/>
  <c r="AI390" i="21"/>
  <c r="AK390" i="21"/>
  <c r="AL390" i="21"/>
  <c r="AI232" i="21"/>
  <c r="AJ232" i="21"/>
  <c r="AJ311" i="21"/>
  <c r="AI311" i="21"/>
  <c r="AL311" i="21"/>
  <c r="AK311" i="21"/>
  <c r="AJ347" i="21"/>
  <c r="AI347" i="21"/>
  <c r="AK347" i="21"/>
  <c r="AL347" i="21"/>
  <c r="AJ412" i="21"/>
  <c r="AL412" i="21"/>
  <c r="AK412" i="21"/>
  <c r="AI412" i="21"/>
  <c r="AJ453" i="21"/>
  <c r="AI453" i="21"/>
  <c r="AJ23" i="21"/>
  <c r="AI23" i="21"/>
  <c r="AN23" i="21"/>
  <c r="F23" i="29"/>
  <c r="AK496" i="21"/>
  <c r="AJ496" i="21"/>
  <c r="AI496" i="21"/>
  <c r="AL496" i="21"/>
  <c r="AI393" i="21"/>
  <c r="AJ393" i="21"/>
  <c r="AI291" i="21"/>
  <c r="AJ291" i="21"/>
  <c r="AI428" i="21"/>
  <c r="AJ428" i="21"/>
  <c r="AJ6" i="21"/>
  <c r="AI6" i="21"/>
  <c r="AN6" i="21"/>
  <c r="F6" i="29"/>
  <c r="AK6" i="21"/>
  <c r="AL6" i="21"/>
  <c r="AI216" i="21"/>
  <c r="AJ216" i="21"/>
  <c r="AI196" i="21"/>
  <c r="AJ196" i="21"/>
  <c r="AJ346" i="21"/>
  <c r="AI346" i="21"/>
  <c r="AI241" i="21"/>
  <c r="AJ241" i="21"/>
  <c r="AI247" i="21"/>
  <c r="AJ247" i="21"/>
  <c r="AJ73" i="21"/>
  <c r="AI73" i="21"/>
  <c r="AJ456" i="21"/>
  <c r="AK456" i="21"/>
  <c r="AL456" i="21"/>
  <c r="AI309" i="21"/>
  <c r="AJ309" i="21"/>
  <c r="AJ240" i="21"/>
  <c r="AI240" i="21"/>
  <c r="AK240" i="21"/>
  <c r="AL240" i="21"/>
  <c r="AJ387" i="21"/>
  <c r="AI387" i="21"/>
  <c r="AL387" i="21"/>
  <c r="AK387" i="21"/>
  <c r="AI353" i="21"/>
  <c r="AJ353" i="21"/>
  <c r="AI462" i="21"/>
  <c r="AJ462" i="21"/>
  <c r="AI404" i="21"/>
  <c r="AJ404" i="21"/>
  <c r="AL404" i="21"/>
  <c r="AK404" i="21"/>
  <c r="AI315" i="21"/>
  <c r="AJ315" i="21"/>
  <c r="AL315" i="21"/>
  <c r="AK315" i="21"/>
  <c r="AI39" i="21"/>
  <c r="AJ39" i="21"/>
  <c r="AJ354" i="21"/>
  <c r="AI354" i="21"/>
  <c r="AK354" i="21"/>
  <c r="AI264" i="21"/>
  <c r="AJ264" i="21"/>
  <c r="AJ13" i="21"/>
  <c r="AI13" i="21"/>
  <c r="AN13" i="21"/>
  <c r="F13" i="29"/>
  <c r="AI245" i="21"/>
  <c r="AJ444" i="21"/>
  <c r="AI444" i="21"/>
  <c r="AK433" i="21"/>
  <c r="AJ383" i="21"/>
  <c r="AI383" i="21"/>
  <c r="AJ24" i="21"/>
  <c r="AI24" i="21"/>
  <c r="AN24" i="21"/>
  <c r="F24" i="29"/>
  <c r="AJ10" i="21"/>
  <c r="AI10" i="21"/>
  <c r="AN10" i="21"/>
  <c r="F10" i="29"/>
  <c r="AK10" i="21"/>
  <c r="AL10" i="21"/>
  <c r="AJ339" i="21"/>
  <c r="AI339" i="21"/>
  <c r="AJ483" i="21"/>
  <c r="AI483" i="21"/>
  <c r="AJ220" i="21"/>
  <c r="AL220" i="21"/>
  <c r="AK220" i="21"/>
  <c r="AI220" i="21"/>
  <c r="AI322" i="21"/>
  <c r="AL322" i="21"/>
  <c r="AJ322" i="21"/>
  <c r="AK322" i="21"/>
  <c r="AJ28" i="21"/>
  <c r="AI28" i="21"/>
  <c r="AN28" i="21"/>
  <c r="F28" i="29"/>
  <c r="AJ271" i="21"/>
  <c r="AI271" i="21"/>
  <c r="AI426" i="21"/>
  <c r="AJ426" i="21"/>
  <c r="AJ308" i="21"/>
  <c r="AI308" i="21"/>
  <c r="AL308" i="21"/>
  <c r="AK308" i="21"/>
  <c r="AI8" i="21"/>
  <c r="AN8" i="21"/>
  <c r="F8" i="29"/>
  <c r="AJ8" i="21"/>
  <c r="AL357" i="21"/>
  <c r="AJ183" i="21"/>
  <c r="AI183" i="21"/>
  <c r="AK183" i="21"/>
  <c r="AL183" i="21"/>
  <c r="AJ229" i="21"/>
  <c r="AI229" i="21"/>
  <c r="AL289" i="21"/>
  <c r="AK289" i="21"/>
  <c r="AK288" i="21"/>
  <c r="AL288" i="21"/>
  <c r="AL476" i="21"/>
  <c r="AK476" i="21"/>
  <c r="AJ176" i="21"/>
  <c r="AI176" i="21"/>
  <c r="AK176" i="21"/>
  <c r="AL176" i="21"/>
  <c r="AJ103" i="21"/>
  <c r="AI103" i="21"/>
  <c r="AL103" i="21"/>
  <c r="AK103" i="21"/>
  <c r="AI293" i="21"/>
  <c r="AJ293" i="21"/>
  <c r="AJ343" i="21"/>
  <c r="AI343" i="21"/>
  <c r="AI75" i="21"/>
  <c r="AJ75" i="21"/>
  <c r="AI461" i="21"/>
  <c r="AJ461" i="21"/>
  <c r="AB167" i="21"/>
  <c r="AJ167" i="21"/>
  <c r="AG167" i="21"/>
  <c r="AK167" i="21"/>
  <c r="AI42" i="21"/>
  <c r="AJ42" i="21"/>
  <c r="AL42" i="21"/>
  <c r="AK42" i="21"/>
  <c r="AB34" i="21"/>
  <c r="AG34" i="21"/>
  <c r="AI53" i="21"/>
  <c r="AN53" i="21"/>
  <c r="F53" i="29"/>
  <c r="AJ53" i="21"/>
  <c r="AK53" i="21"/>
  <c r="AL53" i="21"/>
  <c r="AK72" i="21"/>
  <c r="AI72" i="21"/>
  <c r="AL72" i="21"/>
  <c r="AJ72" i="21"/>
  <c r="AB126" i="21"/>
  <c r="AJ126" i="21"/>
  <c r="AG126" i="21"/>
  <c r="AL126" i="21"/>
  <c r="AB138" i="21"/>
  <c r="AJ138" i="21"/>
  <c r="AG138" i="21"/>
  <c r="AL138" i="21"/>
  <c r="AJ56" i="21"/>
  <c r="AI56" i="21"/>
  <c r="AJ21" i="21"/>
  <c r="AI21" i="21"/>
  <c r="AN21" i="21"/>
  <c r="F21" i="29"/>
  <c r="AK3" i="21"/>
  <c r="AL3" i="21"/>
  <c r="AG147" i="21"/>
  <c r="AL147" i="21"/>
  <c r="AK190" i="21"/>
  <c r="AL190" i="21"/>
  <c r="AL215" i="21"/>
  <c r="AK215" i="21"/>
  <c r="AK437" i="21"/>
  <c r="AL437" i="21"/>
  <c r="AK416" i="21"/>
  <c r="AL416" i="21"/>
  <c r="AL46" i="21"/>
  <c r="AK46" i="21"/>
  <c r="AL186" i="21"/>
  <c r="AK186" i="21"/>
  <c r="AL273" i="21"/>
  <c r="AK273" i="21"/>
  <c r="AK457" i="21"/>
  <c r="AL457" i="21"/>
  <c r="AL478" i="21"/>
  <c r="AK478" i="21"/>
  <c r="AK48" i="21"/>
  <c r="AL48" i="21"/>
  <c r="AG130" i="21"/>
  <c r="AL242" i="21"/>
  <c r="AK242" i="21"/>
  <c r="AK348" i="21"/>
  <c r="AL348" i="21"/>
  <c r="AG317" i="21"/>
  <c r="AL409" i="21"/>
  <c r="AK409" i="21"/>
  <c r="AG97" i="21"/>
  <c r="AL97" i="21"/>
  <c r="AG177" i="21"/>
  <c r="AK296" i="21"/>
  <c r="AL296" i="21"/>
  <c r="AK401" i="21"/>
  <c r="AL401" i="21"/>
  <c r="AL371" i="21"/>
  <c r="AK371" i="21"/>
  <c r="AL472" i="21"/>
  <c r="AK472" i="21"/>
  <c r="AL399" i="21"/>
  <c r="AK399" i="21"/>
  <c r="AL292" i="21"/>
  <c r="AK292" i="21"/>
  <c r="AG181" i="21"/>
  <c r="AG21" i="21"/>
  <c r="AG391" i="21"/>
  <c r="AL340" i="21"/>
  <c r="AK340" i="21"/>
  <c r="AK337" i="21"/>
  <c r="AL337" i="21"/>
  <c r="AL265" i="21"/>
  <c r="AK265" i="21"/>
  <c r="AL36" i="21"/>
  <c r="AK36" i="21"/>
  <c r="AK385" i="21"/>
  <c r="AL385" i="21"/>
  <c r="AL370" i="21"/>
  <c r="AK370" i="21"/>
  <c r="AL297" i="21"/>
  <c r="AK297" i="21"/>
  <c r="AK307" i="21"/>
  <c r="AL307" i="21"/>
  <c r="AK223" i="21"/>
  <c r="AL223" i="21"/>
  <c r="AG18" i="21"/>
  <c r="AG45" i="21"/>
  <c r="AG110" i="21"/>
  <c r="AL110" i="21"/>
  <c r="AK241" i="21"/>
  <c r="AL241" i="21"/>
  <c r="AK353" i="21"/>
  <c r="AL353" i="21"/>
  <c r="AL422" i="21"/>
  <c r="AK422" i="21"/>
  <c r="AL280" i="21"/>
  <c r="AK280" i="21"/>
  <c r="AI95" i="21"/>
  <c r="AN95" i="21"/>
  <c r="F95" i="29"/>
  <c r="AJ95" i="21"/>
  <c r="AK95" i="21"/>
  <c r="AL95" i="21"/>
  <c r="AJ118" i="21"/>
  <c r="AI118" i="21"/>
  <c r="AN118" i="21"/>
  <c r="F118" i="29"/>
  <c r="AL118" i="21"/>
  <c r="AK118" i="21"/>
  <c r="AI117" i="21"/>
  <c r="AL117" i="21"/>
  <c r="AJ117" i="21"/>
  <c r="AK117" i="21"/>
  <c r="AK148" i="21"/>
  <c r="AI148" i="21"/>
  <c r="AN148" i="21"/>
  <c r="F148" i="29"/>
  <c r="AL148" i="21"/>
  <c r="AJ148" i="21"/>
  <c r="AJ171" i="21"/>
  <c r="AK171" i="21"/>
  <c r="AL171" i="21"/>
  <c r="AI171" i="21"/>
  <c r="AN171" i="21"/>
  <c r="F171" i="29"/>
  <c r="AI99" i="21"/>
  <c r="AJ99" i="21"/>
  <c r="AK99" i="21"/>
  <c r="AL99" i="21"/>
  <c r="AI114" i="21"/>
  <c r="AJ114" i="21"/>
  <c r="AK114" i="21"/>
  <c r="AL114" i="21"/>
  <c r="AI152" i="21"/>
  <c r="AK152" i="21"/>
  <c r="AL152" i="21"/>
  <c r="AJ152" i="21"/>
  <c r="AJ135" i="21"/>
  <c r="AI135" i="21"/>
  <c r="AN135" i="21"/>
  <c r="F135" i="29"/>
  <c r="AL135" i="21"/>
  <c r="AI156" i="21"/>
  <c r="AJ156" i="21"/>
  <c r="AK156" i="21"/>
  <c r="AL156" i="21"/>
  <c r="AJ122" i="21"/>
  <c r="AI122" i="21"/>
  <c r="AL122" i="21"/>
  <c r="AK122" i="21"/>
  <c r="AI487" i="21"/>
  <c r="AJ487" i="21"/>
  <c r="AI438" i="21"/>
  <c r="AJ338" i="21"/>
  <c r="AI338" i="21"/>
  <c r="AI437" i="21"/>
  <c r="AJ437" i="21"/>
  <c r="AJ430" i="21"/>
  <c r="AI430" i="21"/>
  <c r="AI280" i="21"/>
  <c r="AJ280" i="21"/>
  <c r="AJ359" i="21"/>
  <c r="AI359" i="21"/>
  <c r="AI225" i="21"/>
  <c r="AJ225" i="21"/>
  <c r="AI4" i="21"/>
  <c r="AN4" i="21"/>
  <c r="F4" i="29"/>
  <c r="AJ4" i="21"/>
  <c r="AJ484" i="21"/>
  <c r="AI484" i="21"/>
  <c r="AI22" i="21"/>
  <c r="AN22" i="21"/>
  <c r="F22" i="29"/>
  <c r="AK22" i="21"/>
  <c r="AL22" i="21"/>
  <c r="AJ22" i="21"/>
  <c r="AJ63" i="21"/>
  <c r="AL63" i="21"/>
  <c r="AI63" i="21"/>
  <c r="AK63" i="21"/>
  <c r="AJ296" i="21"/>
  <c r="AI296" i="21"/>
  <c r="AJ242" i="21"/>
  <c r="AI242" i="21"/>
  <c r="AI331" i="21"/>
  <c r="AJ331" i="21"/>
  <c r="AI215" i="21"/>
  <c r="AJ215" i="21"/>
  <c r="AJ228" i="21"/>
  <c r="AI228" i="21"/>
  <c r="AI238" i="21"/>
  <c r="AJ238" i="21"/>
  <c r="AI442" i="21"/>
  <c r="AJ442" i="21"/>
  <c r="AJ391" i="21"/>
  <c r="AI391" i="21"/>
  <c r="AI375" i="21"/>
  <c r="AJ375" i="21"/>
  <c r="AI253" i="21"/>
  <c r="AJ253" i="21"/>
  <c r="AI440" i="21"/>
  <c r="AJ440" i="21"/>
  <c r="AK440" i="21"/>
  <c r="AL440" i="21"/>
  <c r="AI493" i="21"/>
  <c r="AJ493" i="21"/>
  <c r="AJ323" i="21"/>
  <c r="AI323" i="21"/>
  <c r="AI25" i="21"/>
  <c r="AN25" i="21"/>
  <c r="F25" i="29"/>
  <c r="AJ25" i="21"/>
  <c r="AI342" i="21"/>
  <c r="AL342" i="21"/>
  <c r="AK342" i="21"/>
  <c r="AJ342" i="21"/>
  <c r="AI340" i="21"/>
  <c r="AJ340" i="21"/>
  <c r="AI203" i="21"/>
  <c r="AK203" i="21"/>
  <c r="AJ203" i="21"/>
  <c r="AL203" i="21"/>
  <c r="AJ394" i="21"/>
  <c r="AI394" i="21"/>
  <c r="AJ452" i="21"/>
  <c r="AI452" i="21"/>
  <c r="AJ464" i="21"/>
  <c r="AI464" i="21"/>
  <c r="AJ14" i="21"/>
  <c r="AI14" i="21"/>
  <c r="AN14" i="21"/>
  <c r="F14" i="29"/>
  <c r="AJ492" i="21"/>
  <c r="AK492" i="21"/>
  <c r="AI492" i="21"/>
  <c r="AL492" i="21"/>
  <c r="AI254" i="21"/>
  <c r="AJ254" i="21"/>
  <c r="AL254" i="21"/>
  <c r="AK254" i="21"/>
  <c r="AI479" i="21"/>
  <c r="AJ479" i="21"/>
  <c r="AI16" i="21"/>
  <c r="AN16" i="21"/>
  <c r="F16" i="29"/>
  <c r="AJ16" i="21"/>
  <c r="AI178" i="21"/>
  <c r="AN178" i="21"/>
  <c r="F178" i="29"/>
  <c r="AJ178" i="21"/>
  <c r="AI443" i="21"/>
  <c r="AJ443" i="21"/>
  <c r="AJ187" i="21"/>
  <c r="AI187" i="21"/>
  <c r="AJ68" i="21"/>
  <c r="AI68" i="21"/>
  <c r="AI337" i="21"/>
  <c r="AJ337" i="21"/>
  <c r="AJ427" i="21"/>
  <c r="AI427" i="21"/>
  <c r="AL427" i="21"/>
  <c r="AK427" i="21"/>
  <c r="AJ57" i="21"/>
  <c r="AI57" i="21"/>
  <c r="AL354" i="21"/>
  <c r="AB101" i="21"/>
  <c r="AI101" i="21"/>
  <c r="AG101" i="21"/>
  <c r="AL101" i="21"/>
  <c r="AK5" i="21"/>
  <c r="AL5" i="21"/>
  <c r="AK451" i="21"/>
  <c r="AL451" i="21"/>
  <c r="AK339" i="21"/>
  <c r="AL339" i="21"/>
  <c r="AL345" i="21"/>
  <c r="AK345" i="21"/>
  <c r="AK295" i="21"/>
  <c r="AL295" i="21"/>
  <c r="AI143" i="21"/>
  <c r="AK143" i="21"/>
  <c r="AL143" i="21"/>
  <c r="AJ143" i="21"/>
  <c r="AI124" i="21"/>
  <c r="AL124" i="21"/>
  <c r="AK124" i="21"/>
  <c r="AJ124" i="21"/>
  <c r="AI244" i="21"/>
  <c r="AJ244" i="21"/>
  <c r="AJ20" i="21"/>
  <c r="AI20" i="21"/>
  <c r="AN20" i="21"/>
  <c r="F20" i="29"/>
  <c r="AJ501" i="21"/>
  <c r="AI501" i="21"/>
  <c r="AI15" i="21"/>
  <c r="AN15" i="21"/>
  <c r="F15" i="29"/>
  <c r="AJ15" i="21"/>
  <c r="AI330" i="21"/>
  <c r="AJ330" i="21"/>
  <c r="AI421" i="21"/>
  <c r="AJ421" i="21"/>
  <c r="AL421" i="21"/>
  <c r="AK421" i="21"/>
  <c r="AB60" i="21"/>
  <c r="AJ60" i="21"/>
  <c r="AG60" i="21"/>
  <c r="AL60" i="21"/>
  <c r="AJ70" i="21"/>
  <c r="AI70" i="21"/>
  <c r="AN70" i="21"/>
  <c r="F70" i="29"/>
  <c r="AK70" i="21"/>
  <c r="AL70" i="21"/>
  <c r="AJ272" i="21"/>
  <c r="AI272" i="21"/>
  <c r="AB173" i="21"/>
  <c r="AJ173" i="21"/>
  <c r="AG173" i="21"/>
  <c r="AL173" i="21"/>
  <c r="AJ449" i="21"/>
  <c r="AI449" i="21"/>
  <c r="AL20" i="21"/>
  <c r="AK20" i="21"/>
  <c r="AL225" i="21"/>
  <c r="AK225" i="21"/>
  <c r="AL318" i="21"/>
  <c r="AK318" i="21"/>
  <c r="AG482" i="21"/>
  <c r="AL104" i="21"/>
  <c r="AK104" i="21"/>
  <c r="AJ104" i="21"/>
  <c r="AI104" i="21"/>
  <c r="AN104" i="21"/>
  <c r="F104" i="29"/>
  <c r="AK33" i="21"/>
  <c r="AL33" i="21"/>
  <c r="AL278" i="21"/>
  <c r="AK278" i="21"/>
  <c r="AL430" i="21"/>
  <c r="AK430" i="21"/>
  <c r="AK477" i="21"/>
  <c r="AL477" i="21"/>
  <c r="AL66" i="21"/>
  <c r="AK66" i="21"/>
  <c r="AL247" i="21"/>
  <c r="AK247" i="21"/>
  <c r="AK394" i="21"/>
  <c r="AL394" i="21"/>
  <c r="AL314" i="21"/>
  <c r="AK314" i="21"/>
  <c r="AG78" i="21"/>
  <c r="AK211" i="21"/>
  <c r="AL211" i="21"/>
  <c r="AL293" i="21"/>
  <c r="AK293" i="21"/>
  <c r="AK341" i="21"/>
  <c r="AL341" i="21"/>
  <c r="AL490" i="21"/>
  <c r="AK490" i="21"/>
  <c r="AL393" i="21"/>
  <c r="AK393" i="21"/>
  <c r="AL269" i="21"/>
  <c r="AK269" i="21"/>
  <c r="AK200" i="21"/>
  <c r="AL200" i="21"/>
  <c r="AG100" i="21"/>
  <c r="AK426" i="21"/>
  <c r="AL426" i="21"/>
  <c r="AK471" i="21"/>
  <c r="AL471" i="21"/>
  <c r="AL323" i="21"/>
  <c r="AK323" i="21"/>
  <c r="AG266" i="21"/>
  <c r="AK185" i="21"/>
  <c r="AL185" i="21"/>
  <c r="AK69" i="21"/>
  <c r="AL69" i="21"/>
  <c r="AK47" i="21"/>
  <c r="AL47" i="21"/>
  <c r="AK424" i="21"/>
  <c r="AL424" i="21"/>
  <c r="AK447" i="21"/>
  <c r="AL447" i="21"/>
  <c r="AG324" i="21"/>
  <c r="AK258" i="21"/>
  <c r="AL258" i="21"/>
  <c r="AG71" i="21"/>
  <c r="AK71" i="21"/>
  <c r="AK73" i="21"/>
  <c r="AL73" i="21"/>
  <c r="AL195" i="21"/>
  <c r="AK195" i="21"/>
  <c r="AK274" i="21"/>
  <c r="AL274" i="21"/>
  <c r="AK442" i="21"/>
  <c r="AL442" i="21"/>
  <c r="AK499" i="21"/>
  <c r="AL499" i="21"/>
  <c r="AK80" i="21"/>
  <c r="AJ80" i="21"/>
  <c r="AL80" i="21"/>
  <c r="AI80" i="21"/>
  <c r="AN80" i="21"/>
  <c r="F80" i="29"/>
  <c r="AI111" i="21"/>
  <c r="AL111" i="21"/>
  <c r="AK111" i="21"/>
  <c r="AJ111" i="21"/>
  <c r="AJ142" i="21"/>
  <c r="AI142" i="21"/>
  <c r="AK142" i="21"/>
  <c r="AL142" i="21"/>
  <c r="AI141" i="21"/>
  <c r="AN141" i="21"/>
  <c r="F141" i="29"/>
  <c r="AL141" i="21"/>
  <c r="AK141" i="21"/>
  <c r="AJ141" i="21"/>
  <c r="AJ164" i="21"/>
  <c r="AK164" i="21"/>
  <c r="AL164" i="21"/>
  <c r="AI164" i="21"/>
  <c r="AN164" i="21"/>
  <c r="F164" i="29"/>
  <c r="AI84" i="21"/>
  <c r="AN84" i="21"/>
  <c r="F84" i="29"/>
  <c r="AJ84" i="21"/>
  <c r="AK84" i="21"/>
  <c r="AL84" i="21"/>
  <c r="AI107" i="21"/>
  <c r="AN107" i="21"/>
  <c r="F107" i="29"/>
  <c r="AJ107" i="21"/>
  <c r="AL107" i="21"/>
  <c r="AK107" i="21"/>
  <c r="AI137" i="21"/>
  <c r="AN137" i="21"/>
  <c r="F137" i="29"/>
  <c r="AK137" i="21"/>
  <c r="AJ137" i="21"/>
  <c r="AL137" i="21"/>
  <c r="AK96" i="21"/>
  <c r="AI96" i="21"/>
  <c r="AN96" i="21"/>
  <c r="F96" i="29"/>
  <c r="AL96" i="21"/>
  <c r="AJ96" i="21"/>
  <c r="AI125" i="21"/>
  <c r="AN125" i="21"/>
  <c r="F125" i="29"/>
  <c r="AJ125" i="21"/>
  <c r="AK125" i="21"/>
  <c r="AL125" i="21"/>
  <c r="AI91" i="21"/>
  <c r="AJ91" i="21"/>
  <c r="AL91" i="21"/>
  <c r="AK91" i="21"/>
  <c r="AJ274" i="21"/>
  <c r="AI274" i="21"/>
  <c r="AI195" i="21"/>
  <c r="AJ195" i="21"/>
  <c r="AJ5" i="21"/>
  <c r="AI5" i="21"/>
  <c r="AN5" i="21"/>
  <c r="F5" i="29"/>
  <c r="AJ477" i="21"/>
  <c r="AI477" i="21"/>
  <c r="AI370" i="21"/>
  <c r="AJ370" i="21"/>
  <c r="AI328" i="21"/>
  <c r="AJ328" i="21"/>
  <c r="AI455" i="21"/>
  <c r="AJ455" i="21"/>
  <c r="AJ273" i="21"/>
  <c r="AI273" i="21"/>
  <c r="AJ36" i="21"/>
  <c r="AI36" i="21"/>
  <c r="AN36" i="21"/>
  <c r="F36" i="29"/>
  <c r="AI378" i="21"/>
  <c r="AJ378" i="21"/>
  <c r="AJ352" i="21"/>
  <c r="AL352" i="21"/>
  <c r="AI352" i="21"/>
  <c r="AK352" i="21"/>
  <c r="AJ66" i="21"/>
  <c r="AI66" i="21"/>
  <c r="AJ363" i="21"/>
  <c r="AI363" i="21"/>
  <c r="AI37" i="21"/>
  <c r="AN37" i="21"/>
  <c r="F37" i="29"/>
  <c r="AJ37" i="21"/>
  <c r="AK37" i="21"/>
  <c r="AL37" i="21"/>
  <c r="AI198" i="21"/>
  <c r="AJ198" i="21"/>
  <c r="AJ263" i="21"/>
  <c r="AK263" i="21"/>
  <c r="AI263" i="21"/>
  <c r="AL263" i="21"/>
  <c r="AJ320" i="21"/>
  <c r="AI320" i="21"/>
  <c r="AJ268" i="21"/>
  <c r="AI268" i="21"/>
  <c r="AK268" i="21"/>
  <c r="AL268" i="21"/>
  <c r="AJ365" i="21"/>
  <c r="AI365" i="21"/>
  <c r="AJ270" i="21"/>
  <c r="AL270" i="21"/>
  <c r="AK270" i="21"/>
  <c r="AI270" i="21"/>
  <c r="AJ31" i="21"/>
  <c r="AI31" i="21"/>
  <c r="AN31" i="21"/>
  <c r="F31" i="29"/>
  <c r="AI361" i="21"/>
  <c r="AJ361" i="21"/>
  <c r="AL361" i="21"/>
  <c r="AK361" i="21"/>
  <c r="AI423" i="21"/>
  <c r="AJ423" i="21"/>
  <c r="AJ177" i="21"/>
  <c r="AI177" i="21"/>
  <c r="AN177" i="21"/>
  <c r="F177" i="29"/>
  <c r="AJ61" i="21"/>
  <c r="AI61" i="21"/>
  <c r="AI207" i="21"/>
  <c r="AL207" i="21"/>
  <c r="AJ207" i="21"/>
  <c r="AK207" i="21"/>
  <c r="AI35" i="21"/>
  <c r="AN35" i="21"/>
  <c r="F35" i="29"/>
  <c r="AJ35" i="21"/>
  <c r="AI312" i="21"/>
  <c r="AJ312" i="21"/>
  <c r="AI286" i="21"/>
  <c r="AJ286" i="21"/>
  <c r="AL286" i="21"/>
  <c r="AK286" i="21"/>
  <c r="AI276" i="21"/>
  <c r="AJ276" i="21"/>
  <c r="AI454" i="21"/>
  <c r="AJ454" i="21"/>
  <c r="AJ388" i="21"/>
  <c r="AI388" i="21"/>
  <c r="AI399" i="21"/>
  <c r="AJ399" i="21"/>
  <c r="AI389" i="21"/>
  <c r="AJ389" i="21"/>
  <c r="AJ188" i="21"/>
  <c r="AI188" i="21"/>
  <c r="AI424" i="21"/>
  <c r="AJ424" i="21"/>
  <c r="AJ362" i="21"/>
  <c r="AI362" i="21"/>
  <c r="AI310" i="21"/>
  <c r="AJ310" i="21"/>
  <c r="AI360" i="21"/>
  <c r="AJ360" i="21"/>
  <c r="AI2" i="21"/>
  <c r="AN2" i="21"/>
  <c r="F2" i="29"/>
  <c r="AJ2" i="21"/>
  <c r="AL2" i="21"/>
  <c r="AK2" i="21"/>
  <c r="AI48" i="21"/>
  <c r="AJ48" i="21"/>
  <c r="AJ290" i="21"/>
  <c r="AI290" i="21"/>
  <c r="AI459" i="21"/>
  <c r="AJ459" i="21"/>
  <c r="AI326" i="21"/>
  <c r="AJ326" i="21"/>
  <c r="AJ283" i="21"/>
  <c r="AI283" i="21"/>
  <c r="AJ324" i="21"/>
  <c r="AI324" i="21"/>
  <c r="AJ239" i="21"/>
  <c r="AI239" i="21"/>
  <c r="AJ458" i="21"/>
  <c r="AI458" i="21"/>
  <c r="AL27" i="21"/>
  <c r="AK27" i="21"/>
  <c r="AK411" i="21"/>
  <c r="AL411" i="21"/>
  <c r="AK468" i="21"/>
  <c r="AL468" i="21"/>
  <c r="AK272" i="21"/>
  <c r="AL272" i="21"/>
  <c r="AK199" i="21"/>
  <c r="AL199" i="21"/>
  <c r="AK350" i="21"/>
  <c r="AL350" i="21"/>
  <c r="AI158" i="21"/>
  <c r="AN158" i="21"/>
  <c r="F158" i="29"/>
  <c r="AJ158" i="21"/>
  <c r="AL158" i="21"/>
  <c r="AK158" i="21"/>
  <c r="AK327" i="21"/>
  <c r="AL327" i="21"/>
  <c r="AJ350" i="21"/>
  <c r="AI350" i="21"/>
  <c r="AJ420" i="21"/>
  <c r="AL420" i="21"/>
  <c r="AK420" i="21"/>
  <c r="AI420" i="21"/>
  <c r="AJ269" i="21"/>
  <c r="AI269" i="21"/>
  <c r="AJ26" i="21"/>
  <c r="AI26" i="21"/>
  <c r="AN26" i="21"/>
  <c r="F26" i="29"/>
  <c r="AI243" i="21"/>
  <c r="AJ243" i="21"/>
  <c r="AI62" i="21"/>
  <c r="AJ62" i="21"/>
  <c r="AI38" i="21"/>
  <c r="AN38" i="21"/>
  <c r="F38" i="29"/>
  <c r="AJ38" i="21"/>
  <c r="AL38" i="21"/>
  <c r="AK38" i="21"/>
  <c r="AJ40" i="21"/>
  <c r="AI40" i="21"/>
  <c r="AN40" i="21"/>
  <c r="F40" i="29"/>
  <c r="AK40" i="21"/>
  <c r="AL40" i="21"/>
  <c r="AJ206" i="21"/>
  <c r="AI206" i="21"/>
  <c r="AJ222" i="21"/>
  <c r="AI222" i="21"/>
  <c r="AI11" i="21"/>
  <c r="AN11" i="21"/>
  <c r="F11" i="29"/>
  <c r="AJ11" i="21"/>
  <c r="AL43" i="21"/>
  <c r="AK43" i="21"/>
  <c r="AG135" i="21"/>
  <c r="AK135" i="21"/>
  <c r="AK227" i="21"/>
  <c r="AL227" i="21"/>
  <c r="AK381" i="21"/>
  <c r="AL381" i="21"/>
  <c r="AK465" i="21"/>
  <c r="AL465" i="21"/>
  <c r="AK16" i="21"/>
  <c r="AL16" i="21"/>
  <c r="AG222" i="21"/>
  <c r="AL359" i="21"/>
  <c r="AK359" i="21"/>
  <c r="AL328" i="21"/>
  <c r="AK328" i="21"/>
  <c r="AK497" i="21"/>
  <c r="AL497" i="21"/>
  <c r="AL75" i="21"/>
  <c r="AK75" i="21"/>
  <c r="AL287" i="21"/>
  <c r="AK287" i="21"/>
  <c r="AL375" i="21"/>
  <c r="AK375" i="21"/>
  <c r="AL489" i="21"/>
  <c r="AK489" i="21"/>
  <c r="AK196" i="21"/>
  <c r="AL196" i="21"/>
  <c r="AK331" i="21"/>
  <c r="AL331" i="21"/>
  <c r="AK7" i="21"/>
  <c r="AL7" i="21"/>
  <c r="AK61" i="21"/>
  <c r="AL61" i="21"/>
  <c r="AK298" i="21"/>
  <c r="AL298" i="21"/>
  <c r="AL464" i="21"/>
  <c r="AK464" i="21"/>
  <c r="AK355" i="21"/>
  <c r="AL355" i="21"/>
  <c r="AL326" i="21"/>
  <c r="AK326" i="21"/>
  <c r="AK291" i="21"/>
  <c r="AL291" i="21"/>
  <c r="AL300" i="21"/>
  <c r="AK300" i="21"/>
  <c r="AG153" i="21"/>
  <c r="AK153" i="21"/>
  <c r="AK4" i="21"/>
  <c r="AL4" i="21"/>
  <c r="AK453" i="21"/>
  <c r="AL453" i="21"/>
  <c r="AK377" i="21"/>
  <c r="AL377" i="21"/>
  <c r="AL329" i="21"/>
  <c r="AK329" i="21"/>
  <c r="AK233" i="21"/>
  <c r="AL233" i="21"/>
  <c r="AK197" i="21"/>
  <c r="AL197" i="21"/>
  <c r="AL68" i="21"/>
  <c r="AK68" i="21"/>
  <c r="AK462" i="21"/>
  <c r="AL462" i="21"/>
  <c r="AL365" i="21"/>
  <c r="AK365" i="21"/>
  <c r="AK312" i="21"/>
  <c r="AL312" i="21"/>
  <c r="AK253" i="21"/>
  <c r="AL253" i="21"/>
  <c r="AG188" i="21"/>
  <c r="AL57" i="21"/>
  <c r="AK57" i="21"/>
  <c r="AK14" i="21"/>
  <c r="AL14" i="21"/>
  <c r="AG112" i="21"/>
  <c r="AL112" i="21"/>
  <c r="AK239" i="21"/>
  <c r="AL239" i="21"/>
  <c r="AK336" i="21"/>
  <c r="AL336" i="21"/>
  <c r="AL380" i="21"/>
  <c r="AK380" i="21"/>
  <c r="AI119" i="21"/>
  <c r="AL119" i="21"/>
  <c r="AJ119" i="21"/>
  <c r="AK119" i="21"/>
  <c r="AI168" i="21"/>
  <c r="AJ168" i="21"/>
  <c r="AK168" i="21"/>
  <c r="AL168" i="21"/>
  <c r="AJ88" i="21"/>
  <c r="AI88" i="21"/>
  <c r="AL88" i="21"/>
  <c r="AK88" i="21"/>
  <c r="AI127" i="21"/>
  <c r="AN127" i="21"/>
  <c r="F127" i="29"/>
  <c r="AJ127" i="21"/>
  <c r="AK127" i="21"/>
  <c r="AL127" i="21"/>
  <c r="AI150" i="21"/>
  <c r="AJ150" i="21"/>
  <c r="AK150" i="21"/>
  <c r="AL150" i="21"/>
  <c r="AJ149" i="21"/>
  <c r="AI149" i="21"/>
  <c r="AN149" i="21"/>
  <c r="F149" i="29"/>
  <c r="AL149" i="21"/>
  <c r="AK149" i="21"/>
  <c r="AI172" i="21"/>
  <c r="AJ172" i="21"/>
  <c r="AK100" i="21"/>
  <c r="AL100" i="21"/>
  <c r="AJ100" i="21"/>
  <c r="AI100" i="21"/>
  <c r="AL130" i="21"/>
  <c r="AJ130" i="21"/>
  <c r="AI130" i="21"/>
  <c r="AK130" i="21"/>
  <c r="AI160" i="21"/>
  <c r="AN160" i="21"/>
  <c r="F160" i="29"/>
  <c r="AK160" i="21"/>
  <c r="AL160" i="21"/>
  <c r="AJ160" i="21"/>
  <c r="AJ134" i="21"/>
  <c r="AI134" i="21"/>
  <c r="AL134" i="21"/>
  <c r="AK134" i="21"/>
  <c r="AJ155" i="21"/>
  <c r="AI155" i="21"/>
  <c r="AN155" i="21"/>
  <c r="F155" i="29"/>
  <c r="AL155" i="21"/>
  <c r="AK155" i="21"/>
  <c r="AJ224" i="21"/>
  <c r="AI227" i="21"/>
  <c r="AJ227" i="21"/>
  <c r="AJ204" i="21"/>
  <c r="AI204" i="21"/>
  <c r="AJ77" i="21"/>
  <c r="AK77" i="21"/>
  <c r="AI77" i="21"/>
  <c r="AL77" i="21"/>
  <c r="AJ47" i="21"/>
  <c r="AI47" i="21"/>
  <c r="AN47" i="21"/>
  <c r="F47" i="29"/>
  <c r="AI384" i="21"/>
  <c r="AJ384" i="21"/>
  <c r="AI392" i="21"/>
  <c r="AJ392" i="21"/>
  <c r="AI377" i="21"/>
  <c r="AJ377" i="21"/>
  <c r="AI221" i="21"/>
  <c r="AJ221" i="21"/>
  <c r="AI279" i="21"/>
  <c r="AJ279" i="21"/>
  <c r="AL279" i="21"/>
  <c r="AK279" i="21"/>
  <c r="AJ17" i="21"/>
  <c r="AI17" i="21"/>
  <c r="AI43" i="21"/>
  <c r="AJ43" i="21"/>
  <c r="AJ402" i="21"/>
  <c r="AI402" i="21"/>
  <c r="AK402" i="21"/>
  <c r="AL402" i="21"/>
  <c r="AI278" i="21"/>
  <c r="AJ278" i="21"/>
  <c r="AJ303" i="21"/>
  <c r="AI303" i="21"/>
  <c r="AJ368" i="21"/>
  <c r="AI368" i="21"/>
  <c r="AJ300" i="21"/>
  <c r="AI300" i="21"/>
  <c r="AI469" i="21"/>
  <c r="AJ469" i="21"/>
  <c r="AI302" i="21"/>
  <c r="AJ302" i="21"/>
  <c r="AI488" i="21"/>
  <c r="AJ488" i="21"/>
  <c r="AI416" i="21"/>
  <c r="AJ416" i="21"/>
  <c r="AI281" i="21"/>
  <c r="AL281" i="21"/>
  <c r="AJ281" i="21"/>
  <c r="AK281" i="21"/>
  <c r="AJ209" i="21"/>
  <c r="AI209" i="21"/>
  <c r="AL209" i="21"/>
  <c r="AK209" i="21"/>
  <c r="AI79" i="21"/>
  <c r="AN79" i="21"/>
  <c r="F79" i="29"/>
  <c r="AJ79" i="21"/>
  <c r="AI450" i="21"/>
  <c r="AJ450" i="21"/>
  <c r="AJ476" i="21"/>
  <c r="AI476" i="21"/>
  <c r="AI434" i="21"/>
  <c r="AJ434" i="21"/>
  <c r="AJ208" i="21"/>
  <c r="AI208" i="21"/>
  <c r="AI212" i="21"/>
  <c r="AJ212" i="21"/>
  <c r="AI345" i="21"/>
  <c r="AJ345" i="21"/>
  <c r="AJ341" i="21"/>
  <c r="AI341" i="21"/>
  <c r="AJ231" i="21"/>
  <c r="AI231" i="21"/>
  <c r="AJ325" i="21"/>
  <c r="AI325" i="21"/>
  <c r="AJ76" i="21"/>
  <c r="AI76" i="21"/>
  <c r="AK76" i="21"/>
  <c r="AL76" i="21"/>
  <c r="AJ199" i="21"/>
  <c r="AI199" i="21"/>
  <c r="AI379" i="21"/>
  <c r="AJ379" i="21"/>
  <c r="AJ374" i="21"/>
  <c r="AI374" i="21"/>
  <c r="AJ193" i="21"/>
  <c r="AI193" i="21"/>
  <c r="AL193" i="21"/>
  <c r="AK193" i="21"/>
  <c r="AI466" i="21"/>
  <c r="AJ466" i="21"/>
  <c r="AJ306" i="21"/>
  <c r="AI306" i="21"/>
  <c r="AL306" i="21"/>
  <c r="AK306" i="21"/>
  <c r="AI439" i="21"/>
  <c r="AJ439" i="21"/>
  <c r="AK449" i="21"/>
  <c r="AL449" i="21"/>
  <c r="AI179" i="21"/>
  <c r="AN179" i="21"/>
  <c r="F179" i="29"/>
  <c r="AJ179" i="21"/>
  <c r="AK179" i="21"/>
  <c r="AL179" i="21"/>
  <c r="AI485" i="21"/>
  <c r="AJ485" i="21"/>
  <c r="AI12" i="21"/>
  <c r="AN12" i="21"/>
  <c r="F12" i="29"/>
  <c r="AJ12" i="21"/>
  <c r="AK12" i="21"/>
  <c r="AL12" i="21"/>
  <c r="AJ78" i="21"/>
  <c r="AI78" i="21"/>
  <c r="AJ395" i="21"/>
  <c r="AI395" i="21"/>
  <c r="AL319" i="21"/>
  <c r="AL243" i="21"/>
  <c r="AK243" i="21"/>
  <c r="AL62" i="21"/>
  <c r="AK62" i="21"/>
  <c r="AN168" i="21"/>
  <c r="F168" i="29"/>
  <c r="AK188" i="21"/>
  <c r="AL188" i="21"/>
  <c r="AN188" i="21"/>
  <c r="F188" i="29"/>
  <c r="AL324" i="21"/>
  <c r="AK324" i="21"/>
  <c r="AN57" i="21"/>
  <c r="F57" i="29"/>
  <c r="AN68" i="21"/>
  <c r="F68" i="29"/>
  <c r="AK391" i="21"/>
  <c r="AL391" i="21"/>
  <c r="AK34" i="21"/>
  <c r="AL34" i="21"/>
  <c r="AI123" i="21"/>
  <c r="AN123" i="21"/>
  <c r="F123" i="29"/>
  <c r="AN87" i="21"/>
  <c r="F87" i="29"/>
  <c r="AN113" i="21"/>
  <c r="F113" i="29"/>
  <c r="AL9" i="21"/>
  <c r="AK9" i="21"/>
  <c r="AN46" i="21"/>
  <c r="F46" i="29"/>
  <c r="AN50" i="21"/>
  <c r="F50" i="29"/>
  <c r="AN82" i="21"/>
  <c r="F82" i="29"/>
  <c r="AK49" i="21"/>
  <c r="AI126" i="21"/>
  <c r="AN126" i="21"/>
  <c r="F126" i="29"/>
  <c r="AN115" i="21"/>
  <c r="F115" i="29"/>
  <c r="AL30" i="21"/>
  <c r="AK30" i="21"/>
  <c r="AN61" i="21"/>
  <c r="F61" i="29"/>
  <c r="AN142" i="21"/>
  <c r="F142" i="29"/>
  <c r="AL78" i="21"/>
  <c r="AK78" i="21"/>
  <c r="AK60" i="21"/>
  <c r="AN122" i="21"/>
  <c r="F122" i="29"/>
  <c r="AK21" i="21"/>
  <c r="AL21" i="21"/>
  <c r="AI34" i="21"/>
  <c r="AN34" i="21"/>
  <c r="F34" i="29"/>
  <c r="AJ34" i="21"/>
  <c r="AN39" i="21"/>
  <c r="F39" i="29"/>
  <c r="AN92" i="21"/>
  <c r="F92" i="29"/>
  <c r="AL320" i="21"/>
  <c r="AK320" i="21"/>
  <c r="AN55" i="21"/>
  <c r="F55" i="29"/>
  <c r="AN86" i="21"/>
  <c r="F86" i="29"/>
  <c r="AK229" i="21"/>
  <c r="AL229" i="21"/>
  <c r="AK81" i="21"/>
  <c r="AN157" i="21"/>
  <c r="F157" i="29"/>
  <c r="AN185" i="21"/>
  <c r="F185" i="29"/>
  <c r="AN180" i="21"/>
  <c r="F180" i="29"/>
  <c r="AI167" i="21"/>
  <c r="AN167" i="21"/>
  <c r="F167" i="29"/>
  <c r="AN161" i="21"/>
  <c r="F161" i="29"/>
  <c r="AL71" i="21"/>
  <c r="AN71" i="21"/>
  <c r="F71" i="29"/>
  <c r="AK177" i="21"/>
  <c r="AL177" i="21"/>
  <c r="AK397" i="21"/>
  <c r="AL397" i="21"/>
  <c r="AN130" i="21"/>
  <c r="F130" i="29"/>
  <c r="AL222" i="21"/>
  <c r="AK222" i="21"/>
  <c r="AN91" i="21"/>
  <c r="F91" i="29"/>
  <c r="AN143" i="21"/>
  <c r="F143" i="29"/>
  <c r="AN187" i="21"/>
  <c r="F187" i="29"/>
  <c r="AN114" i="21"/>
  <c r="F114" i="29"/>
  <c r="AN117" i="21"/>
  <c r="F117" i="29"/>
  <c r="AL181" i="21"/>
  <c r="AK181" i="21"/>
  <c r="AN181" i="21"/>
  <c r="F181" i="29"/>
  <c r="AN72" i="21"/>
  <c r="F72" i="29"/>
  <c r="AN103" i="21"/>
  <c r="F103" i="29"/>
  <c r="AN183" i="21"/>
  <c r="F183" i="29"/>
  <c r="AK206" i="21"/>
  <c r="AL206" i="21"/>
  <c r="AN112" i="21"/>
  <c r="F112" i="29"/>
  <c r="AN9" i="21"/>
  <c r="F9" i="29"/>
  <c r="AK65" i="21"/>
  <c r="AL65" i="21"/>
  <c r="AN165" i="21"/>
  <c r="F165" i="29"/>
  <c r="AI49" i="21"/>
  <c r="AN49" i="21"/>
  <c r="F49" i="29"/>
  <c r="AN182" i="21"/>
  <c r="F182" i="29"/>
  <c r="AN59" i="21"/>
  <c r="F59" i="29"/>
  <c r="AN120" i="21"/>
  <c r="F120" i="29"/>
  <c r="AN162" i="21"/>
  <c r="F162" i="29"/>
  <c r="AK50" i="21"/>
  <c r="AL50" i="21"/>
  <c r="AL210" i="21"/>
  <c r="AK210" i="21"/>
  <c r="AN51" i="21"/>
  <c r="F51" i="29"/>
  <c r="AK219" i="21"/>
  <c r="AL219" i="21"/>
  <c r="AN43" i="21"/>
  <c r="F43" i="29"/>
  <c r="AN134" i="21"/>
  <c r="F134" i="29"/>
  <c r="AL172" i="21"/>
  <c r="AN172" i="21"/>
  <c r="F172" i="29"/>
  <c r="AN88" i="21"/>
  <c r="F88" i="29"/>
  <c r="AK266" i="21"/>
  <c r="AL266" i="21"/>
  <c r="AI60" i="21"/>
  <c r="AN60" i="21"/>
  <c r="F60" i="29"/>
  <c r="AL317" i="21"/>
  <c r="AK317" i="21"/>
  <c r="AN75" i="21"/>
  <c r="F75" i="29"/>
  <c r="AN73" i="21"/>
  <c r="F73" i="29"/>
  <c r="AL153" i="21"/>
  <c r="AK110" i="21"/>
  <c r="AN29" i="21"/>
  <c r="F29" i="29"/>
  <c r="AN140" i="21"/>
  <c r="F140" i="29"/>
  <c r="AI81" i="21"/>
  <c r="AN81" i="21"/>
  <c r="F81" i="29"/>
  <c r="AN133" i="21"/>
  <c r="F133" i="29"/>
  <c r="AN54" i="21"/>
  <c r="F54" i="29"/>
  <c r="AN154" i="21"/>
  <c r="F154" i="29"/>
  <c r="AN136" i="21"/>
  <c r="F136" i="29"/>
  <c r="AK173" i="21"/>
  <c r="AK97" i="21"/>
  <c r="AK138" i="21"/>
  <c r="AN150" i="21"/>
  <c r="F150" i="29"/>
  <c r="AN119" i="21"/>
  <c r="F119" i="29"/>
  <c r="AN48" i="21"/>
  <c r="F48" i="29"/>
  <c r="AL45" i="21"/>
  <c r="AK45" i="21"/>
  <c r="AN45" i="21"/>
  <c r="F45" i="29"/>
  <c r="AL166" i="21"/>
  <c r="AN129" i="21"/>
  <c r="F129" i="29"/>
  <c r="AK83" i="21"/>
  <c r="AN67" i="21"/>
  <c r="F67" i="29"/>
  <c r="AN41" i="21"/>
  <c r="F41" i="29"/>
  <c r="AN144" i="21"/>
  <c r="F144" i="29"/>
  <c r="AN169" i="21"/>
  <c r="F169" i="29"/>
  <c r="AK101" i="21"/>
  <c r="AN101" i="21"/>
  <c r="F101" i="29"/>
  <c r="AK147" i="21"/>
  <c r="AL249" i="21"/>
  <c r="AK249" i="21"/>
  <c r="AN44" i="21"/>
  <c r="F44" i="29"/>
  <c r="AN30" i="21"/>
  <c r="F30" i="29"/>
  <c r="AN93" i="21"/>
  <c r="F93" i="29"/>
  <c r="AI138" i="21"/>
  <c r="AN76" i="21"/>
  <c r="F76" i="29"/>
  <c r="AN77" i="21"/>
  <c r="F77" i="29"/>
  <c r="AN100" i="21"/>
  <c r="F100" i="29"/>
  <c r="AN62" i="21"/>
  <c r="F62" i="29"/>
  <c r="AN66" i="21"/>
  <c r="F66" i="29"/>
  <c r="AN63" i="21"/>
  <c r="F63" i="29"/>
  <c r="AK18" i="21"/>
  <c r="AL18" i="21"/>
  <c r="AN42" i="21"/>
  <c r="F42" i="29"/>
  <c r="AK232" i="21"/>
  <c r="AL232" i="21"/>
  <c r="AN69" i="21"/>
  <c r="F69" i="29"/>
  <c r="AN89" i="21"/>
  <c r="F89" i="29"/>
  <c r="AN102" i="21"/>
  <c r="F102" i="29"/>
  <c r="AN139" i="21"/>
  <c r="F139" i="29"/>
  <c r="AL217" i="21"/>
  <c r="AK217" i="21"/>
  <c r="AL128" i="21"/>
  <c r="AI173" i="21"/>
  <c r="AN173" i="21"/>
  <c r="F173" i="29"/>
  <c r="AN74" i="21"/>
  <c r="F74" i="29"/>
  <c r="AN65" i="21"/>
  <c r="F65" i="29"/>
  <c r="AK64" i="21"/>
  <c r="AN64" i="21"/>
  <c r="F64" i="29"/>
  <c r="AL64" i="21"/>
  <c r="AN78" i="21"/>
  <c r="F78" i="29"/>
  <c r="AN111" i="21"/>
  <c r="F111" i="29"/>
  <c r="AK482" i="21"/>
  <c r="AL482" i="21"/>
  <c r="AN124" i="21"/>
  <c r="F124" i="29"/>
  <c r="AN156" i="21"/>
  <c r="F156" i="29"/>
  <c r="AN152" i="21"/>
  <c r="F152" i="29"/>
  <c r="AN99" i="21"/>
  <c r="F99" i="29"/>
  <c r="AN176" i="21"/>
  <c r="F176" i="29"/>
  <c r="AN153" i="21"/>
  <c r="F153" i="29"/>
  <c r="AN166" i="21"/>
  <c r="F166" i="29"/>
  <c r="AN83" i="21"/>
  <c r="F83" i="29"/>
  <c r="AN110" i="21"/>
  <c r="F110" i="29"/>
  <c r="AL250" i="21"/>
  <c r="AK250" i="21"/>
  <c r="AN116" i="21"/>
  <c r="F116" i="29"/>
  <c r="AL17" i="21"/>
  <c r="AK17" i="21"/>
  <c r="AN17" i="21"/>
  <c r="F17" i="29"/>
  <c r="AI217" i="21"/>
  <c r="AJ217" i="21"/>
  <c r="AN85" i="21"/>
  <c r="F85" i="29"/>
  <c r="AN105" i="21"/>
  <c r="F105" i="29"/>
  <c r="AK56" i="21"/>
  <c r="AN56" i="21"/>
  <c r="F56" i="29"/>
  <c r="AL56" i="21"/>
  <c r="AN184" i="21"/>
  <c r="F184" i="29"/>
  <c r="AN58" i="21"/>
  <c r="F58" i="29"/>
  <c r="AK32" i="21"/>
  <c r="AL32" i="21"/>
  <c r="AK231" i="21"/>
  <c r="AL231" i="21"/>
  <c r="AN138" i="21"/>
  <c r="F138" i="2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<sst xmlns="http://schemas.openxmlformats.org/spreadsheetml/2006/main" count="2963" uniqueCount="1399">
  <si>
    <t>Julkri-hankintaehtotyökalu</t>
  </si>
  <si>
    <t xml:space="preserve">Tähän työkaluun on koottu Julkri-suosituksen pohjalta muodostettuja hankintaehtoja. Työkalua voidaan käyttää apuna hankintasopimuksiin liittyvien turvallisuusvaatimusten laatimisessa.
</t>
  </si>
  <si>
    <t>Käyttö</t>
  </si>
  <si>
    <r>
      <t xml:space="preserve">1. </t>
    </r>
    <r>
      <rPr>
        <b/>
        <sz val="12"/>
        <rFont val="Arial"/>
        <family val="2"/>
      </rPr>
      <t xml:space="preserve">Hankinnan perustiedot: </t>
    </r>
    <r>
      <rPr>
        <sz val="12"/>
        <rFont val="Arial"/>
        <family val="2"/>
      </rPr>
      <t xml:space="preserve">Voit dokumentoida välilehdelle hankinnan perustietoja. Perustiedot ovat luonteeltaan informatiivisia eivätkä vaikuta hankintaehtotyökalunn toimintaan.
</t>
    </r>
  </si>
  <si>
    <r>
      <t xml:space="preserve">2. </t>
    </r>
    <r>
      <rPr>
        <b/>
        <sz val="12"/>
        <rFont val="Arial"/>
        <family val="2"/>
      </rPr>
      <t>Esiehdot</t>
    </r>
    <r>
      <rPr>
        <sz val="12"/>
        <rFont val="Arial"/>
        <family val="2"/>
      </rPr>
      <t xml:space="preserve">: Määrittele hankinnan lähtötiedot kuten vaadittavat turvallisuuden tasot, käsitelläänkö hankinnan kohteessa henkilötietoja, vaatimuksiin sisällytettävät osa-alueet sekä tarvittaessa käyttötapaus. Kaikki esiehdot määritellään alasvetovalikoiden avulla.
Käyttötapaus -kentän voi jättää tyhjäksi, jos et käytä arvioinnin pohjana mitään käyttötapausta. Muihin kenttiin tulee antaa arvot.
Esiehdot on pakko antaa ennen seuraavaan vaiheeseen siirtymistä, koska työkalu muodostaa ehdotuksen hankinnan turvallisuusvaatimuksista esiehtojen perusteella.
</t>
    </r>
  </si>
  <si>
    <r>
      <t>3.a</t>
    </r>
    <r>
      <rPr>
        <b/>
        <sz val="12"/>
        <rFont val="Arial"/>
        <family val="2"/>
      </rPr>
      <t xml:space="preserve"> Hankintaehtojen määrittely - Päätös soveltamisesta</t>
    </r>
    <r>
      <rPr>
        <sz val="12"/>
        <rFont val="Arial"/>
        <family val="2"/>
      </rPr>
      <t xml:space="preserve">: Tee päätökset soveltamisesta kaikille vaatimuksille. Jos teet "Ei sisälly" päätöksen olennaiselle tai valinnaiselle vaatimukselle, kirjaa perustelu "Perustelut" -sarakkeeseen. 
</t>
    </r>
  </si>
  <si>
    <r>
      <t xml:space="preserve">3.b </t>
    </r>
    <r>
      <rPr>
        <b/>
        <sz val="12"/>
        <rFont val="Arial"/>
        <family val="2"/>
      </rPr>
      <t>Hankintaehtojen määrittely - Vaatimusten täsmentäminen</t>
    </r>
    <r>
      <rPr>
        <sz val="12"/>
        <rFont val="Arial"/>
        <family val="2"/>
      </rPr>
      <t xml:space="preserve">: Täsmennä tarvittaessa hankintaan sisältyviä vaatimuksia sarakkeessa "Vaatimuksen täsmennys toimittajalle". Ohjeita kunkin vaatimuksen täsmentämisestä on sarakkeessa "Ohje hankintayksikölle".
Toimittajalle lähetettävä vaatimus muodostetaan yhdistämällä "Vaatimus" ja "Vaatimuksen täsmennys toimittajalle" -sarakkeiden tiedot. Tarkista liitekohtaisilta välilehdiltä (Hallinnollinen turvallisuus / Fyysinen turvallisuus, Tekninen turvallisuus sekä  Varautuminen ja jatkuvuudenhallinta), että yhdistetyt vaatimukset ovat oikein.
</t>
    </r>
  </si>
  <si>
    <r>
      <t xml:space="preserve">4 </t>
    </r>
    <r>
      <rPr>
        <b/>
        <sz val="12"/>
        <rFont val="Arial"/>
        <family val="2"/>
      </rPr>
      <t>Lisävaatimusten määrittely</t>
    </r>
    <r>
      <rPr>
        <sz val="12"/>
        <rFont val="Arial"/>
        <family val="2"/>
      </rPr>
      <t xml:space="preserve">: Jos tunnistat hankinnan yhteydessä sellaisia tietoturvallisuusvaatimuksia, jotka eivät sisälly vakiomuotoisiin tietoturvallisuusliitteisiin tai hankintaehtotyökalun ehdottamiin vaatimuksiin, voit määritellä nämä vaatimukset välilehdellä "Lisävaatimukset". Määrittele kunkin lisävaatimuksen Tunniste, Nimi sekä varsinainen Vaatimus.
</t>
    </r>
  </si>
  <si>
    <r>
      <t xml:space="preserve">5. </t>
    </r>
    <r>
      <rPr>
        <b/>
        <sz val="12"/>
        <rFont val="Arial"/>
        <family val="2"/>
      </rPr>
      <t>Sopimusliitteiden muodostaminen - yleistä</t>
    </r>
    <r>
      <rPr>
        <sz val="12"/>
        <rFont val="Arial"/>
        <family val="2"/>
      </rPr>
      <t xml:space="preserve">: Toimittajalle lähetettävät sopimusliitteet ovat välilehdillä Hallinnollinen turvallisuus, Fyysinen turvallisuus, Tekninen turvallisuus sekä Varautuminen ja jatkuvuudenhallinta. Voit valintasi mukaan toimittaa vaatimusliitteet joko Excel tai PDF -muodossa. 
Muokkaa liitenumerot jokaiseen hankintaan sisältyvän vaatimusliitteen soluun A1, mikäli hankinnan  liitteiden numerointi poikkeaa suosituksessa käytetystä liitenumeroinnista.
Muokkaa rivien korkeudet kaikissa vaatimusliitteissä siten, että vaatimukset tulevat kokonaan näkyviin seuraavasti:
- Valitse koko taulukko taulukon vasemmasta yläkulmasta klikkaamalla rivinumeroiden ja saraketunnisteiden risteyskohdassa olevaa 
- Valinnan jälkeen koko välilehden sisältö näkyy valittuna. 
- Kaksoisklikkaa taulukon vasemmassa reunassa olevasta numerosarakkeesta kahden numeron välissä olevaa viivaa. 
- Toimenpiteen seurauksena Excel muuttaa kaikkien rivien korkeudet siten, että vaatimusteksti näkyy kokonaan.
</t>
    </r>
  </si>
  <si>
    <r>
      <t xml:space="preserve">5.a </t>
    </r>
    <r>
      <rPr>
        <b/>
        <sz val="12"/>
        <rFont val="Arial"/>
        <family val="2"/>
      </rPr>
      <t>Sopimusliitteiden muodostaminen - Excel</t>
    </r>
    <r>
      <rPr>
        <sz val="12"/>
        <rFont val="Arial"/>
        <family val="2"/>
      </rPr>
      <t xml:space="preserve">: Excel-muotoiseen sopimusliitteeseen toimittajan on helpompi dokumentoida vastaukset. Lisäksi toimittajien vastausten vertailu ja jatkokäsittely hankinnan myöhemmissä vaiheissa on helpompaa Excelissä.
Excel-liitteen muodostamiseksi pitää tehdä seuraavat toimenpiteet ennen liitetiedoston lähettämistä toimittajalle:
- </t>
    </r>
    <r>
      <rPr>
        <b/>
        <sz val="12"/>
        <rFont val="Arial"/>
        <family val="2"/>
      </rPr>
      <t>Poista tiedostosta tarpeettomat vaatimusliitteet</t>
    </r>
    <r>
      <rPr>
        <sz val="12"/>
        <rFont val="Arial"/>
        <family val="2"/>
      </rPr>
      <t xml:space="preserve">, eli liitteet joilla ei ole yhtään vaatimusta. (Osoita hiirellä poistettavan välilehden nimeä / paina hiiren oikeaa painiketta / osoita valikosta kohtaa "Poista" / paina hiiren vasenta painiketta).
- </t>
    </r>
    <r>
      <rPr>
        <b/>
        <sz val="12"/>
        <rFont val="Arial"/>
        <family val="2"/>
      </rPr>
      <t>Poista toimittajalle lähetettävästä tiedostosta soveltamispäätösten perustelut</t>
    </r>
    <r>
      <rPr>
        <sz val="12"/>
        <rFont val="Arial"/>
        <family val="2"/>
      </rPr>
      <t xml:space="preserve">. Perustelut voivat sisältää salassa pidettävää tietoa eikä niitä siten tule sisällyttää toimittajalle lähetettävään versioon. Säilytä perusteluista kuitenkin kopio hankintayksikössä.
- </t>
    </r>
    <r>
      <rPr>
        <b/>
        <sz val="12"/>
        <rFont val="Arial"/>
        <family val="2"/>
      </rPr>
      <t>Piilota toimittajalle lähetettävästä tiedostosta muut tarpeettomat välilehdet</t>
    </r>
    <r>
      <rPr>
        <sz val="12"/>
        <rFont val="Arial"/>
        <family val="2"/>
      </rPr>
      <t xml:space="preserve">. Toimittajalle tarpeettomia välilehtiä ovat kaikki muut välilehdet paitsi Hankinnan perustiedot sekä hankintaan sisältyvät vaatimusliitteet. (Osoita hiirellä piilotettavan välilehden nimeä / paina hiiren oikeaa painiketta / osoita valikosta kohtaa "Piilota" / paina hiiren vasenta painiketta).
- </t>
    </r>
    <r>
      <rPr>
        <b/>
        <sz val="12"/>
        <rFont val="Arial"/>
        <family val="2"/>
      </rPr>
      <t xml:space="preserve">Tallenna ja nimeä </t>
    </r>
    <r>
      <rPr>
        <sz val="12"/>
        <rFont val="Arial"/>
        <family val="2"/>
      </rPr>
      <t xml:space="preserve">Excel-tiedosto siten, että siitä käy ilmi mitkä liitenumerot sisältyvat tiedostoon. Esimerkiksi </t>
    </r>
    <r>
      <rPr>
        <i/>
        <sz val="12"/>
        <rFont val="Arial"/>
        <family val="2"/>
      </rPr>
      <t>Tietoturvavaatimukset liitteet 3-5</t>
    </r>
    <r>
      <rPr>
        <sz val="12"/>
        <rFont val="Arial"/>
        <family val="2"/>
      </rPr>
      <t xml:space="preserve">.
</t>
    </r>
  </si>
  <si>
    <r>
      <t xml:space="preserve">5.b </t>
    </r>
    <r>
      <rPr>
        <b/>
        <sz val="12"/>
        <rFont val="Arial"/>
        <family val="2"/>
      </rPr>
      <t>Sopimusliitteiden muodostaminen - PDF</t>
    </r>
    <r>
      <rPr>
        <sz val="12"/>
        <rFont val="Arial"/>
        <family val="2"/>
      </rPr>
      <t xml:space="preserve">: Tallenna kukin vaatimusliite erilliseen tiedostoon ja nimeä tiedosto liitteen mukaan. </t>
    </r>
    <r>
      <rPr>
        <i/>
        <sz val="12"/>
        <rFont val="Arial"/>
        <family val="2"/>
      </rPr>
      <t>Esimerkiksi Liite 2 Hallinnollisen turvallisuuden vaatimukset.</t>
    </r>
    <r>
      <rPr>
        <sz val="12"/>
        <rFont val="Arial"/>
        <family val="2"/>
      </rPr>
      <t xml:space="preserve"> (Tiedosto / Tallenna nimellä ja valitse tallennusmuodoksi PDF)
</t>
    </r>
  </si>
  <si>
    <r>
      <rPr>
        <b/>
        <sz val="12"/>
        <rFont val="Arial"/>
        <family val="2"/>
      </rPr>
      <t>Käyttötapaukset - käyttö</t>
    </r>
    <r>
      <rPr>
        <sz val="12"/>
        <rFont val="Arial"/>
        <family val="2"/>
      </rPr>
      <t xml:space="preserve">: Voit hyödyntää käyttötapauksia hankintaehtojen määrittelyssä. Käyttötapaus valitaan osana esiehtojen antamista valintalistalta. Voit käyttää etukäteen hankintaehtotyökaluun määriteltyjä käyttötapauksia tai itse määrittelemiäsi käyttötapauksia. Käyttötapaus vaikuttaa yhdessä muiden esiehtojen kanssa siihen, mitä vaatimuksia hankintaehtotyökalu ehdottaa hankintaan.
</t>
    </r>
  </si>
  <si>
    <r>
      <rPr>
        <b/>
        <sz val="12"/>
        <rFont val="Arial"/>
        <family val="2"/>
      </rPr>
      <t>Käyttötapaukset - määrittely</t>
    </r>
    <r>
      <rPr>
        <sz val="12"/>
        <rFont val="Arial"/>
        <family val="2"/>
      </rPr>
      <t xml:space="preserve">: Käyttötapauksen nimi ja kuvaus määritellään välilehdellä Käyttötapauskuvaukset. Käyttötapaukseen sisältyvät vaatimukset määritellään välilehdellä Käyttötapauskriteerit. Tarkemmat ohjeet käyttötapausten määrittelystä löytyvät hankintasuosituksesta.
</t>
    </r>
  </si>
  <si>
    <t>Hankintaehtotyökalu, hankinnan perustiedot</t>
  </si>
  <si>
    <t>Organisaatio</t>
  </si>
  <si>
    <t>Yksikkö</t>
  </si>
  <si>
    <t>Ajankohta</t>
  </si>
  <si>
    <t>Hankinnan kohde</t>
  </si>
  <si>
    <t>Hankinnan yhteyshenkilö</t>
  </si>
  <si>
    <t>Yhteystiedot</t>
  </si>
  <si>
    <t>Lisätiedot</t>
  </si>
  <si>
    <t>Esiehdot:</t>
  </si>
  <si>
    <t>Hankintayksikön valinnat</t>
  </si>
  <si>
    <t>Turvallisuustasot hankinnan kohteessa</t>
  </si>
  <si>
    <t>Vaadittava luottamuksellisuuden taso</t>
  </si>
  <si>
    <t>Julkinen</t>
  </si>
  <si>
    <t>Vaadittava eheyden taso</t>
  </si>
  <si>
    <t>Vähäinen</t>
  </si>
  <si>
    <t>Vaadittava saatavuuden taso</t>
  </si>
  <si>
    <t>Henkilötiedot hankinnan kohteessa</t>
  </si>
  <si>
    <t>Ei henkilötietoja</t>
  </si>
  <si>
    <t>Sopimukseen sisällytettävät turvallisuusliiteet</t>
  </si>
  <si>
    <t>Hallinnollinen turvallisuus</t>
  </si>
  <si>
    <t>Kyllä</t>
  </si>
  <si>
    <t>Fyysinen turvallisuus</t>
  </si>
  <si>
    <t>Tekninen turvallisuus</t>
  </si>
  <si>
    <t>Tietosuoja</t>
  </si>
  <si>
    <t>Varautuminen ja jatkuvuudenhallinta</t>
  </si>
  <si>
    <t>Käyttötapaus</t>
  </si>
  <si>
    <t>Tunniste</t>
  </si>
  <si>
    <t>Nimi</t>
  </si>
  <si>
    <t>Vaatimus</t>
  </si>
  <si>
    <t>Vaatimuksen täsmennys toimittajalle</t>
  </si>
  <si>
    <t>Ohje hankintayksikölle</t>
  </si>
  <si>
    <t>Olennaisuus</t>
  </si>
  <si>
    <t>Päätös sovel-tamisesta</t>
  </si>
  <si>
    <t>Perustelut</t>
  </si>
  <si>
    <t>Toimittajalla tulee olla kirjallinen kuvaus, joka osoittaa vaatimuksen täyttymisen.</t>
  </si>
  <si>
    <t xml:space="preserve">Toimittajalla tulee olla kirjallinen kuvaus, joka osoittaa vaatimuksen täyttymisen. Toimittajan tulee määritellä vähintään seuraavat vastuut:
 a) turvallisuusjohtaminen
 b) fyysinen turvallisuus
 c) tekninen turvallisuus
 d) varautuminen ja jatkuvuudenhallinta
 e) tietosuoja
 f) riskienhallinta
 g) turvallisuuden kokonaisvastuu
</t>
  </si>
  <si>
    <t>Hankintayksikön tulee tarkastaa vaatimuksen täsmennyksessä oleva vastuuluettelo sekä tehdä siihen tarvittavat lisäykset ja poistot.</t>
  </si>
  <si>
    <t>Toimittajalla tulee olla kirjallinen kuvaus, joka osoittaa vaatimuksen täyttymisen. Kuvauksen tulee sisältää tiedot: tehtävistä, henkilöiden osaamisesta, vastuista, valtuuksista ja resurssien riittävyydestä.</t>
  </si>
  <si>
    <t>Vaatimusta sovelletaan sellaisenaan.</t>
  </si>
  <si>
    <t>Toimittajan tulee kuvata luokittelun verrannollisuus tilaajan antamiin tietojen luokitteluperusteisiin, mikäli käytetään toimittajan tietojen luokittelua.</t>
  </si>
  <si>
    <t>Toimittaja noudattaa tilaajan määrittelemiä luokituksia. Toimittaja on kuitenkin velvollinen tunnistamaan tilanteen, jossa toimittajan vastuulla oleva palvelu sisältää useiden eri asiakkaiden tietoja sekä viestimään asiasta tilaajalle kasautumisvaikutuksen arvioimiseksi.</t>
  </si>
  <si>
    <t>Hankintayksikkö ottaa kasautumisvaikutuksen huomioon hankinnan tietoturvavaatimuksissa.</t>
  </si>
  <si>
    <t xml:space="preserve">Toimittajan tulee tehdä merkinnät tilaajan antamien ohjeiden mukaisesti. </t>
  </si>
  <si>
    <t>Lisäksi toimittajan tulee avustaa tilaajaa riippuvuuksien tunnistamisessa.</t>
  </si>
  <si>
    <t>Toimittaja on dokumentoinut sidosryhmät ja toimitusketjut.</t>
  </si>
  <si>
    <t>Toimittaja noudattaa tilaajan ja toimittajan välistä sopimusta ja on tunnistanut omaan toimintaansa liittyvät lainsäädäntövelvoitteet.</t>
  </si>
  <si>
    <t xml:space="preserve">Toimittajan tietoturvallisuuden menettelyt on suhteutettu suojattavaan tietoon ja kohdeorganisaation toimintaan. 
Lisäksi toimittaja on velvollinen avustamaan tilaajaa toimintaympäristön muutosten tunnistamisessa. </t>
  </si>
  <si>
    <t>Toimittajan kohdalla olennaisilla hallinnollisilla uudistuksilla tarkoitetaan kaikkia olennaisia toimittajan toiminnassa tapahtuvia muutoksia.
tilaajan toiminnan edellyttämät muutokset toteutetaan tilaajan erikseen ohjeistamalla tavalla.</t>
  </si>
  <si>
    <t>Hankintayksikön tulee erikseen varmistaa, että tällaisten muutosten vaikutukset tietoturvallisuuteen viestitään toimittajalle.</t>
  </si>
  <si>
    <t>Toimittajan tulee ottaa riskienhallinnassa huomioon myös tilaajan antamat riskienhallintaa koskevat ohjeet.</t>
  </si>
  <si>
    <t>Hankintayksikön tulee tarvittaessa ohjeistaa toimittajaa asiakkaaseen kohdistuvien riskien vaikutusten arvioimiseksi.</t>
  </si>
  <si>
    <t>Toimittaja on lisäksi velvollinen avustamaan tilaajaa lainsäädäntöjohdannaisten riskien tunnistamisessa ja viestimään niistä tilaajalle.</t>
  </si>
  <si>
    <t>Lisäksi lokitietojen käsittelyssä tulee noudattaa tilaajan asettamia vaatimuksia.</t>
  </si>
  <si>
    <t>Hankintayksikön tulee täsmentää lokitietoihin liittyvät vaatimukset.</t>
  </si>
  <si>
    <t>Lisäksi tulee noudattaa tilaajan asettamia vaatimuksia.</t>
  </si>
  <si>
    <t>Hankintayksikön tulee täsmentää vaatimukset.</t>
  </si>
  <si>
    <t>Lisäksi tilaaja voi määritellä tehtäviä joissa edellytetään erityistä luotettavuutta.</t>
  </si>
  <si>
    <t>Hankintayksikkö voi tarvittaessa määritellä tehtävät, joissa edellytetään erityistä luotettavuutta.</t>
  </si>
  <si>
    <t>Tilaaja määrittelee tehtävät joissa tilaaja voi pyytää toimittajan henkilöistä turvallisuusselvitystä. Toimittaja myöntää pääsyn tilaajan tietoihin turvallisuuselvityksen tuloksen hyväksymisen jälkeen (tilaaja hyväksyy tuloksen).</t>
  </si>
  <si>
    <t>Hankintayksikkö voi tarvittaessa määritellä tehtävät, joissa edellytetään turvallisuusselvitystä.</t>
  </si>
  <si>
    <t xml:space="preserve">Lisäksi toimittaja noudattaa tilaajan ja toimittajan välistä sopimusta ja salassapitovaatimuksia. </t>
  </si>
  <si>
    <t>Toimittajan ohjeiden tulee olla riittävät tilaajan asettamien tietoturvavaatimusten täyttämiseksi. 
Toimittaja on velvollinen pyydettäessä selvittämään kuinka toimittajan ohjeet täyttävät tilaajan asettamat tietoturvavaatimukset.</t>
  </si>
  <si>
    <t>Hankintayksikkö voi tarvittaessa pyytää selvitystä toimittajan tietoturvaohjeista ja niiden riittävyydestä.</t>
  </si>
  <si>
    <t>Toimittajan tietoturvakoulutusten tulee täyttää seuraavat vaatimukset:
- Tietoja käsittelevälle henkilölle on selvitetty tietojen suojaamista koskevat turvallisuussäännöt ja -menettelyt.
- Koulutus toteutetaan henkilöstön työtehtävien tarpeet huomioiden.
- Koulutuksen sisältö dokumentoidaan
- Koulutuksiin osallistuneista pidetään kirjaa</t>
  </si>
  <si>
    <t>Hankintayksikkö voi hankinnan luonteen perusteella täsmentää ja täydentää koulutusta koskevia vaatimuksia.</t>
  </si>
  <si>
    <t>Lisäksi toimittaja noudattaa mahdollisia tilaajan antamia ohjeita käyttö- ja käsittelyoikeuksien hallinnassa.</t>
  </si>
  <si>
    <t>Hankintayksikön tulee täsmentää tarvittaessa käyttö- ja käsittelyoikeuksien hallinnan periaatteita.</t>
  </si>
  <si>
    <t>Lisäksi toimittaja noudattaa tilaajan antamia ohjeita turvallisuusluokiteltujen tietojen käyttö- ja käsittelyoikeuksien luetteloinnista.</t>
  </si>
  <si>
    <t>Hankintayksikön tulee tarvittaessa täsmentää, minkälaista käyttö- ja käsittelyoikeuksien luettelointia edellytetään turvallisuusluokitelluille tiedoille.</t>
  </si>
  <si>
    <t>Lisäksi toimittaja tiedottaa käyttö- ja käsittelyoikeuksien muutoksista tilaajalle, jos tilaaja sitä edellyttää.</t>
  </si>
  <si>
    <t>Hankintayksikön tulee täsmentää missä tilanteissa muutoksista tulee ilmoittaa.</t>
  </si>
  <si>
    <t>Vaatimuksella tarkoitetaan menettelyitä, joiden avulla toimittaja varmistaa toimittajan henkilöstön ja mahdollisesti alihankkijoiden työskentelyn tietoturvallisuuden. 
Toimittajalla tulee olla kirjallinen kuvaus, joka osoittaa vaatimuksen täyttymisen.</t>
  </si>
  <si>
    <t>Hankintayksikkö voi harkita, sovelletaanko vaatimusta hankinnoissa, joissa ei käsitellä salassa pidettäviä tietoja ja palveluun ei kohdistu korkeita saatavuus ja eheysvaatimuksia.</t>
  </si>
  <si>
    <t>Lisäksi toimittaja varmistaa hankinnoissaan, että tilaajan palveluille asettamat tietoturvavaatimukset täyttyvät.</t>
  </si>
  <si>
    <t>Vaatimusta sovelletaan myös toimittajan alihankintaan.</t>
  </si>
  <si>
    <t>Toimittaja avustaa tilaajan määrittelemällä tavalla vikasietoisuutta ja käytettävyyttä koskevissa testeissä.</t>
  </si>
  <si>
    <t>Vaatimusta sovelletaan tilaajan määrittelemällä tavalla. </t>
  </si>
  <si>
    <t>Hankintayksikön tulee erikseen täsmentää hankinnassa sovellettavat saavutettavuusvaatimukset, jos niitä kohdistetaan hankintaan. Mikäli hankintaan ei kohdistu saavutettavuusvaatimuksia, tämän vaatimuksen voi jättää pois.</t>
  </si>
  <si>
    <t xml:space="preserve">Vaatimusta sovelletaan tilaajan määrittelemällä tavalla. </t>
  </si>
  <si>
    <t>Hankintayksikön tulee täsmentää erikseen mahdolliset asiakirjojen julkisuuden toteuttamiseen liittyvät vaatimukset. Mikäli hankintaan ei kohdistu julkisuuden toteuttamiseen liittyviä vaatimuksia, tämän vaatimuksen voi jättää pois.</t>
  </si>
  <si>
    <t>Toimittajalla tulee olla kirjallinen kuvaus, joka osoittaa vaatimuksen täyttymisen. Vaatimusta on täsmennetty fyysisen ja teknisen osa-alueen vaatimuksissa.</t>
  </si>
  <si>
    <t>Toimittaja on tunnistanut ja arvioinut palvelun tuottamisen kannalta olennaiset riskit sekä mitoittanut fyysiset turvatoimet siten, että kaikki fyysiseen turvallisuuteen liittyvät jäännösriskit ovat hyväksyttävällä tasolla suhteessa tilaajan asettamiin vaatimuksiin.</t>
  </si>
  <si>
    <t>Hankintayksikkö tarvittaessa määrittelee hyväksyttävän jäännösriskitason.</t>
  </si>
  <si>
    <t>Toimittaja noudattaa tilaajan antamia TEMPEST-vaatimuksia.</t>
  </si>
  <si>
    <t>Riskiperusteisesti toimittajaa voidaan edellyttää hajasäteilyltä suojautumista (esimerkiksi suojatun laitteen hankinta tai muiden hallinnollisten menettelyiden käyttöönottoa). 
Tarvittaessa hankintayksikkö ilmoittaa erikseen  hajasäteilyltä suojautumisen vaatimuksiset toimittajalle.</t>
  </si>
  <si>
    <t>Toimittajan on tunnistettava tiloihin kohdistuvat olennaiset riskit, sekä toteutettava riittävät suojaustoimenpiteet riskien hallitsemiseksi. Toimittajan on pystyttävä havaitsemaan, jäljittämään, ennaltaehkäisemään ja rajaamaan tilojen suojausta vaarantavia tekoja.</t>
  </si>
  <si>
    <t>Toimittajan on käsiteltävä toimeksiantoon liittyviä salassa pidettäviä tietoja siten, että pääsy tietoihin on vain tietoon oikeutetuilla (esimerkiksi erikseen toimeksiantoon hyväksytyt henkilöt).</t>
  </si>
  <si>
    <t>TL I vaatimuksia ei sovelleta hankinnoissa.</t>
  </si>
  <si>
    <t>Toimittajan on säilytettävä toimeksiantoon liittyviä tietoja siten, että niihin on pääsyt vain tietoon oikeutetuilla (esimerkiksi erikseen toimeksiantoon hyväksytyt henkilöt).
Lisäksi toimittajan on noudattava tilaajan antamia erillisiä ohjeita tietojen säilytyksestä eri tasoille luokitelluille tiedoille.</t>
  </si>
  <si>
    <t>Hankintayksikkö täydentää tietojen säilyttämiseen liittyvät vaatimukset eri tasoille luokitelluille tiedoille sekä turvallisuusalueilla että niiden ulkopuolella.</t>
  </si>
  <si>
    <t>Säilytysyksikön on oltava sellainen, että luvattomasta tunkeutumisesta jää jälki.
Toimittajan tulee hyväksyttää säilytysratkaisut ja tietovälineet tilaajalta.
Toimittaja noudattaa tilaajan määrittelemiä menettelyitä, jos työskennellään organisaation määrittelemien turvallisuusalueiden ulkopuolella.</t>
  </si>
  <si>
    <t>Toimittajan tulee hyväksyttää TL IV tason tietovarantojen ja tietojärjestelmien säilytykseen käytettävät turvallisuusalueet tilaajalla.</t>
  </si>
  <si>
    <t>Toimittajan tulee hyväksyttää TL III tason tietovarantojen ja tietojärjestelmien säilytykseen käytettävät turva-alueet tilaajalla.</t>
  </si>
  <si>
    <t>Soveltuva säilytysratkaisu TL III tason tiedoille on turva-alueelle sijoitettu kassakaappi tai tilaajan erikseen määrittelemä säilytysratkaisu
Tilaaja ohjeistaa erikseen turva-alueiden ulkopuolella käytettävät säilytysratkaisut TL III tason tiedoille.
Toimittajan tulee hyväksyttää TL III tason tietojen  säilytykseen käytettävät turva-alueet ja säilytysratkaisut tilaajalla.</t>
  </si>
  <si>
    <t>Soveltuva säilytysratkaisu TL II tason tiedoille on kassakaappi tai tilaajan erikseen määrittelemä säilytysratkaisu.
Toimittajan tulee hyväksyttää TL II tason tietojen  säilytykseen käytettävät turva-alueet ja säilytysratkaisut tilaajalla</t>
  </si>
  <si>
    <t>Toimittajan on noudatettava tilojen suojaamisessa tässä vaatimuksessa ja sen alivaatimuksissa asetettuja vaatimuksia.
Turvallisuusalueella tarkoitetaan tilaa, jossa toimeksiantoon liittyviä salassa pidettäviä tietoja käsitellään ja/tai säilytetään.</t>
  </si>
  <si>
    <t xml:space="preserve">Toimittajan on huomioitava äänieristys, kun käsitellään toimeksiantoon liittyviä tietoja.
Äänieristyksen tulee estää tietoon oikeudettomien henkilöiden kuulemasta selväsanaisena toimeksiantoon liittyviä  keskusteluita.
</t>
  </si>
  <si>
    <t>Toimeksiantoon liittyvän aineiston salaa katselu, vahingossa tapahtuva mukaan lukien, käsittelyn aikana on estettävä. 
Tilan lasipinnat on suojattava sälekaihtimilla, verhoilla tai kiinteillä kalvoilla.
Salaa katselun riskiä voidaan pienentää myös esimerkiksi työpisteiden sijoittelun ja näkösuojasermien avulla sekä käyttämällä tietokoneen näytönsuojia.</t>
  </si>
  <si>
    <t xml:space="preserve">Toimittajan on huolehdittava, että tiloissa joissa käsitellään turvallisuusluokan II tietoja (tai tilaajan määrittelemiä tietoja), käytetään vain sellaisia laitteita jotka tilaajaon erikseen hyväksynyt.
</t>
  </si>
  <si>
    <t>Tarvittaessa hankintayksikkö määrittelee mitä laitteita tilaan saa viedä ja millaisia laitteita tilassa saa käyttää.
Suositellaan, että hankintayksikkö soveltaa vaatimusta riskiperusteisesti myös turvallisuusluokan III tietojen käsittelyn osalta.</t>
  </si>
  <si>
    <t>Toimittaja on määritellyt ja ottanut käyttöön ainakin seuraavat pääsyoikeuksien ja avainhallinnan menettelyt ja roolit: 
1. Pääsyoikeuksien ja avainten hallinnan menettelytavat ja roolit on luotu, dokumentoitu ja ohjeistettu. 
2. Pääsyoikeuksien ja avainten haltijoista on lista. 
3. Pääsyoikeudet tarkastetaan säännöllisesti esimerkiksi 6 kuukauden välein ja ne pidetään ajan tasalla.
4. Avainten ja kulkutunnisteiden lisätilauksia ja muutoksia koskevat toimet ovat vastuutettu.
Käytössä olevilla avaimilla on oltava voimassa oleva patenttisuojaus.</t>
  </si>
  <si>
    <t xml:space="preserve">Hankintayksikkö voi muokata vaatimuksen täsmennystä (D-sarake). </t>
  </si>
  <si>
    <t>Toimittajan on huolehdittava, että muilla kuin toimittajan erikseen valtuuttamilla henkilöillä (vierailijat) on aina saattaja, kun liikutaan tiloissa joissa käsitellään toimeksiantoon liittyviä tietoja.
Vierailijoista on pidettävä kirjaa, josta ilmenee vähintään vierailijan nimi, vierailun syy, saattaja sekä vierailun ajankohta</t>
  </si>
  <si>
    <t>Hankintayksikkö voi rajata vaatimukset koskemaan esimerkiksi salassa pidettävää tietoa. Tarvittaessa täsmennetään tietoaineistoon perustuen, mitä vaatimuksia sovelletaan.</t>
  </si>
  <si>
    <t xml:space="preserve">Toimittajan käytössä olevan alueen, kuten esimerkiksi toimistotilojen, jossa käsitellään ja/tai säilytetään toimeksiantoon liittyviä tietoja, tulee täyttää tässä vaatimuksessa ja sen alivaatimuksissa asetetut vaatimukset.
</t>
  </si>
  <si>
    <t xml:space="preserve">Hankintayksikkö voi soveltaa hallinnollisen alueen vaatimuksia riskiperusteisesti tarkoituksenmukaisella tavalla. </t>
  </si>
  <si>
    <t>Alueelle pääsyä voidaan valvoa esimerkiksi kulunvalvontajärjestelmällä.</t>
  </si>
  <si>
    <t>Tiloja, joissa säilytetään toimeksiantoon liittyviä tietoja, voidaan valvoa tunkeutumisen ilmaisujärjestelmällä tilaajan antaman erillisohjeistuksen mukaisesti.</t>
  </si>
  <si>
    <t>Hankintayksikön riskiarvion mukaisesti voidaan edellyttää tunkeutumisen ilmaisujärjestelmää mikäli murtoriski arvioidaan merkittäväksi ja tilassa säilytetään salassa pidettävää aineistoa.</t>
  </si>
  <si>
    <t>Turva-alueella tarkoitetaan normaaleja toimistotiloja paremmin suojattuja alueita, joiden tulee täyttää tässä vaatimuksessa ja sen alivaatimuksissa asetetut vaatimukset.</t>
  </si>
  <si>
    <t xml:space="preserve">Hankintayksikön tulee määritellä tarkasti sovellettavat alikriteerit ja täsmentää niihin liittyvät vaatimukset. </t>
  </si>
  <si>
    <t>Mikäli alueella säilytetään turvallisuusluokiteltavia tietoja ja hankintayksikkö arvioi murtoriskin merkittäväksi, tulee alueen rakenteita vahventaa hankintayksikön ohjeistuksen mukaisesti.
Hankintayksikön on määriteltävä toteutustapa.</t>
  </si>
  <si>
    <t>Valvontaa voidaan toteuttaa esimerkiksi kulunvalvontajärjestelmän avulla.</t>
  </si>
  <si>
    <t>Toimittaja noudattaa tilaajan määrittelemiä vaatimuksia pääsyoikeuksien myöntämisessä.</t>
  </si>
  <si>
    <t xml:space="preserve">Hankintayksikkö voi täsmentää vaadittavat pääsyoikeuksien myöntämismenettelyt. </t>
  </si>
  <si>
    <t>Toimittajan on huolehdittava, että muilla kuin toimittajan erikseen valtuuttamilla henkilöillä (vierailijat) on aina saattaja, kun liikutaan tiloissa joissa käsitellään turvallisuusluokiteltavia tietoja.
Vierailijoista on pidettävä kirjaa, josta ilmenee vähintään vierailijan nimi, vierailun syy, saattaja sekä vierailun ajankohta</t>
  </si>
  <si>
    <t>Hankintayksikkö voi rajata vaatimukset koskemaan esimerkiksi turvallisuusluokiteltavia tietoa. Tarvittaessa täsmentää tietoaineistoon perustuen, mitä vaatimuksia sovelletaan.</t>
  </si>
  <si>
    <t>Mikäli toimittajan hallussa on lukittavia säilytysyksiköitä, on huomioitava seuraavat vaatimukset:
Avaimet ja pääsykoodit ovat sellaisten henkilöiden hallussa, joilla on oikeus käsitellä toimeksiantoon liittyviä turvallisuusluokiteltavia tietoja. Toimittajalla on oltava listaus luovutetuista avaimista.
Turvallisuusluokiteltavia tietoja sisältävien säilytysyksiköiden numeroyhdistelmät on vaihdettava 
1. Uuden turvallisen säilytyspaikan vastaanoton 
yhteydessä. 
2. Aina, kun numeroyhdistelmän tuntevassa henkilöstössä tapahtuu muutos. 
3. Aina, kun tiedot ovat vaarantuneet tai kun niiden epäillään vaarantuneen. 
4. Kun jokin lukoista on huollettu tai korjattu. 
5. Vähintään 12 kuukauden välein.</t>
  </si>
  <si>
    <t>Hankintayksikkö voi tarvittaessa täydentää tietojen kuljettamiseen liittyviä vaatimuksia eri turvalisuustasoilla.</t>
  </si>
  <si>
    <t>Toimittaja toteuttaa seuraavat toimenpiteet tilaajan TL IV tasolle luokiteltujen tietojen kuljettamisessa:
1) Tieto pakataan suljettavaan kirjekuoreen tai vastaavaan. Pakkauksen ulkokuoressa ei saa olla merkintää turvallisuusluokasta eikä pakkaus saa ulkoisesti muuten paljastaa sen sisältävän turvallisuusluokiteltua tietoa (kirjekuoren tai vastaavan on oltava läpinäkymätön).
2) Tieto toimitetaan kotimaassa tavallisena postina, kirjattuna kirjeenä tai ko. turvallisuusluokalle hyväksytyn menettelyn mukaisesti. Ulkomaille toimitus postin välityksellä vain viranomaisen erillishyväksyntään pohjautuen.
3) Organisaation sisäiseen postin käsittelyketjuun kuuluu vain hyväksyttyä henkilöstöä.
4) Organisaatiossa on tunnistettu vaatimukset ja toteutettu menettelyt erityissuojattavien tietojen (esimerkiksi salausavaimet) välittämiseksi.
Lisäksi toimittaja noudattaa muita tilaajan antamia ohjeita TL IV tietojen kujettamisesta.</t>
  </si>
  <si>
    <t>Toimittaja toteuttaa lisäksi seuraavat toimenpiteet tilaajan TL III tasolle luokiteltujen tietojen kuljettamisessa.
5)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6) Tieto toimitetaan ko. turvallisuusluokiteltuun tietoon oikeutetun organisaation henkilön toimesta jatkuvan valvonnan alaisuudessa vastaanottajalle. Vaihtoehtoisesti toimitus ko. turvallisuusluokalle hyväksytyn menettelyn mukaisesti. 
7) Organisaation sisäiseen postin käsittelyketjuun kuuluu vain hyväksyttyä turvallisuusselvitettyä henkilöstöä.
Lisäksi toimittaja noudattaa muita tilaajan antamia ohjeita TL III tietojen kujettamisesta.</t>
  </si>
  <si>
    <t>Toimittaja toteuttaa lisäksi seuraavat toimenpiteet tilaajan TL II tasolle luokiteltujen tietojen kuljettamisessa.
8)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Sisäkuoren on oltava sinetöity. Vastaanottaja on ohjeistettava tarkistamaan sinetöinnin eheys ja ilmoitettava välittömästi, mikäli eheyden vaarantumista epäillään.
Lisäksi toimittaja noudattaa muita tilaajan antamia ohjeita TL II tietojen kujettamisesta.</t>
  </si>
  <si>
    <t>Toimittajan on lisäksi noudatettava salassa pidettävän tiedon kopiointiin liittyvää tilaajan antamaa ohjeistusta.</t>
  </si>
  <si>
    <t>Hankintayksikön on tarvittaessa ohjeistettava tietojen kopiointiin liittyvät käytännöt eri turvallisuustasoilla.</t>
  </si>
  <si>
    <t>Toimittajan on lisäksi noudatettava TL II tiedon kopiointiin liittyvää tilaajan antamaa ohjeistusta.</t>
  </si>
  <si>
    <t>Toimittajan on lisäksi noudatettava tietojen kirjaamiseen liittyviä tilaajan antamia ohjeita.</t>
  </si>
  <si>
    <t>Hankintayksikön on tarvittaessa ohjeistettava tietojen kirjaamiseen liittyvät käytännöt eri turvallisuustasoilla.</t>
  </si>
  <si>
    <t>Toimittaja valvoo tiedon tuhuomisprosessia koko tiedon elinkaaren päättymiseen saakka riippumatta siitä tuhoaako toimittaja tiedot itse vai käytetäänkö tietojen tuhuomisessa ulkoista palveluntarjoajaa.
'Salassa pidettävien tietojen tuhoamisessa noudatetaan seuraavia vaatimuksia:
- Paperiaineistojen silppukoko on enintään 30 mm2 (DIN 66399 / P5 tai DIN 32757 / DIN 4).
- Magneettisten kiintolevyjen silppukoko on enintään 320 mm2 (DIN 66399 / H-5.
- SSD-kiintolevyjen ja USB-muistien silppukoko on enintään 10 mm2 (DIN 66399 / E-5).
- Optisten medioiden silppukoko on enintään 10 mm2 (DIN 66399 / O-5).
Lisäksi toimittaja noudattaa tilaajan antamia täydentäviä ohjeita ei-sähköisten tietojen tuhoamisessa.</t>
  </si>
  <si>
    <t>Hankintayksikkö voi tarvittaessa antaa täydentäviä ohjeita ei-sähköisten tietoaineostojen tuhoamisesta eri turvallisuustasoilla.</t>
  </si>
  <si>
    <t>TL IV -tasolla noudatetaan salassa pidettävien tietojen tuhoamisen vaatimuksia.</t>
  </si>
  <si>
    <t>TL III tietojen tuhoamisessa noudatetaan seuraavia vaatimuksia:
- Paperiaineistojen silppukoko on enintään 30 mm2 (DIN 66399 / P5 tai DIN 32757 / DIN 4).
- Magneettisten kiintolevyjen silppukoko on enintään 10 mm2 (DIN 66399 / H-6).
- SSD-kiintolevyjen ja USB-muistien silppukoko on enintään 10 mm2 (DIN 66399 / E-5).
- Optisten medioiden silppukoko on enintään 5 mm2 (DIN 66399 / O-6).</t>
  </si>
  <si>
    <t>TL II tietojen tuhoamisessa noudatetaan seuraavia vaatimuksia:
- Paperiaineistojen silppukoko on enintään 10 mm2 (DIN 66399 / P6).
- Magneettisten kiintolevyjen silppukoko on enintään 10 mm2 (DIN 66399 / H-6).
- SSD-kiintolevyjen ja USB-muistien silppukoko on enintään 1 mm2 (DIN 66399 / E-6).
- Optisten medioiden silppukoko on enintään 5 mm2 (DIN 66399 / O-6).</t>
  </si>
  <si>
    <t>Tietojenkäsittely-ympäristöllä tarkoitetaan koko sitä teknistä ympäristöä, joissa tullaan käsittelemään tai säilyttämään tilaajan tietoja tai jota tullaan käyttämään hankinnan kohteena olevien palveluiden tuottamiseen. Vaatimus koskee myös niitä ympäristöjä, jotka ovat alihankkijoiden tai palveluntuottajien tarjoamia.</t>
  </si>
  <si>
    <t>Hankintaan voi kohdistua myös useita erillisiä ympäristöjä, kuten sovelluskehitysympäristö, testausympäristö tai tuotantoympäristö.
Hankintayksikön tulee täsmentää kaikki hankintaan sisältyvät ympäristöt. Tarvittaessa kuhunkin ympäristöön kohdistettavat tietoturvavaatimukset tulee kuvata erikseen</t>
  </si>
  <si>
    <t xml:space="preserve">Vaatimusta sovelletaan sellaisenaan. </t>
  </si>
  <si>
    <t>Hankintayksikön tulee täsmentää esimerkiksi Julkrin toteutusesimerkin pohjalta miten tietojenkäsittely-ympäristö erotetaan muista ympäristöistä. 
Mikäli palomuurin lisäksi ei edellytetä muita toimenpiteitä, voidaan vaatimus jättää pois hankinnasta.</t>
  </si>
  <si>
    <t>Hankintayksikön tulee täsmentää vaadittu taso.</t>
  </si>
  <si>
    <t>TL I tason lisävaatimukset määritellään erikseen.</t>
  </si>
  <si>
    <t>Hankintayksikön tulee täsmentää vaatimus.</t>
  </si>
  <si>
    <t xml:space="preserve">Vaatimuksilla (TEK-04 ja mahdolliset alivaatimukset) tarkoitetaan sellaisten toimittajan ympäristössä olevien kohteiden hallintaa, joilla voi olla merkitystä tilaajan tietojen tai tilaajalle tuotettavien palveluiden turvallisuudelle. Lisäksi vaatimuksia sovelletaan pilvipalveluiden hallintakäyttöliittymien suojaamiseen.
Lisäksi toimittajan tulee ottaa huomioon mahdolliset tilaajan tekemät täsmennykset. </t>
  </si>
  <si>
    <t>Hankintayksikön tulee täsmentää hallintayhteyksien vaatimukset.</t>
  </si>
  <si>
    <t>Niiltä osin kuin ei ole mahdollista käyttää henkilökohtaisia tunnuksia, on esitettävä korvaava menettely, jonka avulla toteutettujen ylläpitotoimien tekijä on yksilöitävissä.</t>
  </si>
  <si>
    <t xml:space="preserve">Turva-alueella ymmärretään tässä yhteydessä sellaista erillistä korkeammat turvallisuuskriteerit täyttävää fyysistä tilaa, joka täyttää TL III -tason vaatimukset ja jonka tilaaja on hyväksynyt. </t>
  </si>
  <si>
    <t>Hankinnan yhteydessä tulee lisäksi varmistaa FYY-osa-alueen vaatimusten avulla tällaisen tilan olemassaolo.</t>
  </si>
  <si>
    <t>Toimittaja on velvollinen tunnistamaan tilanteen, jossa toimittajan vastuulla oleva palvelu sisältää useiden eri tilaajien tietoja sekä viestimään asiasta tilaajalle kasautumisvaikutuksen arvioimiseksi.</t>
  </si>
  <si>
    <t>Vaatimusta ei sovelleta suoraan, mutta hankintayksikön tulee varmistaa, että kasautumisvaikutus on huomioitu kohteelle asetetuissa turvallisuusvaatimuksissa. 
Kasautumisvaikutusta arvioitaessa tulee ottaa huomioon tietojen määrä, erilaisten tietojen yhdistelymahdollisuudet sekä mahdollisesti myös useamman eri julkishallinnon organisaation tietojen muodostama kokonaisuus.
Mikäli kasautumisvaikutus on tunnistettu, on syytä harkita korkeamman tason turvallisuusvaatimusten soveltamista erityisesti sellaisten kriteerien yhteydessä, jotka vaikuttavat koko kasauman turvallisuuteen. Tällaisia ovat esimerkiksi hallintayhteyksien turvallisuuteen liittyvät vaatimukset.</t>
  </si>
  <si>
    <t>Hankintayksikön on täsmennettävä kuka saa myöntää pääsyoikeudet.</t>
  </si>
  <si>
    <t>Turvallisuusluokitellut tiedot erotellaan ja säilytetään riittävän turvallisella tavalla</t>
  </si>
  <si>
    <t>Hankintayksikkö voi täsmentää vaatimusta Julkrin toteutusesimerkkien avulla harkinnan mukaan.</t>
  </si>
  <si>
    <t>Tietojen ylläpitoon ja lokien hallintaan liittyvät tehtävät on eroteltu riittävässä laajuudessa.</t>
  </si>
  <si>
    <t>Hankintayksikkö voi täsmentää, mikä on riittävän luotettava tunnistustapa.</t>
  </si>
  <si>
    <t>Hankintayksikkö voi täsmentää kuinka monen yrityksen jälkeen käyttäjätunnuksen tulee lukittua.</t>
  </si>
  <si>
    <t>Hankintayksikön tulee tarkentaa vaatimusta Julkrin toteutusesimerkin avulla</t>
  </si>
  <si>
    <t>Vaatimusta sovelletaan sellaisenaan. 
Toimittajan tiloihin tiloihin liittyviä vaatimuksia on mahdollista täsmentää fyysisen turvallisuuden sopimusehtoliitteessä.</t>
  </si>
  <si>
    <t>Hankintayksikkö voi täsmentää sovellettavan kovennuskriteeristnö.</t>
  </si>
  <si>
    <t>Hankintayksikön tulee tarkentaa vaatimusta esimerkiksi Julkrin toteutusesimerkin avulla</t>
  </si>
  <si>
    <t>Hankintayksikkö voi täsmentää minkä tasoista haittaohjelmilta suojautumista edellytetään.</t>
  </si>
  <si>
    <t>Hankintayksikön täsmennettävä</t>
  </si>
  <si>
    <t>Hankintayksikön on täsmennettävä minkä tasoista lokitietojen keräämistä edellytetään.</t>
  </si>
  <si>
    <t>Hankintayksikön täsmennettävä menettely</t>
  </si>
  <si>
    <t>Vaatimusta ei sovelleta hankinnoissa</t>
  </si>
  <si>
    <t>Hankintayksikön on täsmennettävä vaadittava taso</t>
  </si>
  <si>
    <t>TL I -tason vaatimuksia ei sovelleta hankinnoissa</t>
  </si>
  <si>
    <t>Hankintayksikön tulee arvioida, onko kyseessä sellainen palvelu, johon tätä vaatimusta voidaan soveltaa. 
Jos vaatimusta sovelletaan, tulee hankintayksikön täsmentää sovellettavat vaatimukset.</t>
  </si>
  <si>
    <t>Hankintayksikön tulee hankinnan yhteydessä täsmentää, miten vastaanottaja varmistetaan ja tunnistetaan.</t>
  </si>
  <si>
    <t xml:space="preserve">Lähtökohtaisesti vaatimuksen kevennystä ei sovelleta hankinnoissa. </t>
  </si>
  <si>
    <t>Hankintayksikön tulee täsmentää vaadittava salausratkaisu tai salausratkaisun arviointiin sovellettavat vaatimukset.</t>
  </si>
  <si>
    <t>Hankintayksikön tulee täsmentää vaadittavat ratkaisut</t>
  </si>
  <si>
    <t>Hankintayksikkö voi tarvittaessa täsmentää, miten viranomaistarkastuksia edellytetään muutosten yhteydessä.</t>
  </si>
  <si>
    <t>Hankintayksikkö voi täsmentää vaadittavat ratkaisut</t>
  </si>
  <si>
    <t>Hankintayksikön on täsmennettävä, missä laajuudessa TL III etäkäyttö hyväksytään.</t>
  </si>
  <si>
    <t>Hankintayksikön on täsmennettävä, missä laajuudessa TL II etäkäyttö hyväksytään.</t>
  </si>
  <si>
    <t>Hankintayksikön tulee täsmentää vaadittava taso</t>
  </si>
  <si>
    <t>Hankintayksikön tulee täsmentää varmuuskopioinnille asetettavat vaatimukset.</t>
  </si>
  <si>
    <t xml:space="preserve">Vaatimusta sovelletaan tilaajan erikseen täsmentävällä tavalla. </t>
  </si>
  <si>
    <t>Hankintayksikkö määrittelee tarvittaessa erikseen toimittajalta edellytettävät arkistointitoimenpiteet sekä siihen liittyvät palvelulta edellytettävät toiminnallisuudet.</t>
  </si>
  <si>
    <t>Hankintayksikkö määrittelee tarvittaessa erikseen pilvipalveluihin kohdistuvat tietojen tuhoamista koskevat vaatimukset.</t>
  </si>
  <si>
    <t>Hankintayksikkö voi harkita vaatimuksen poisjättämistä, mikäli toimittajan palveluiden merkitys asiakkaan toiminnalle on vähäinen. 
Mikäli vaatimusta sovelletaan, hankintayksikkö täsmentää erikseen hankintaan kohdistettavat saatavuusvaatimukset.</t>
  </si>
  <si>
    <t>Hankintayksikkö voi harkita vaatimuksen poisjättämistä, mikäli toimittajan palveluiden merkitys asiakkaan toiminnalle on vähäinen. 
Mikäli vaatimusta sovelletaan, hankintayksikkö täsmentää erikseen hankintaan kohdistettavat vaatimukset.</t>
  </si>
  <si>
    <t>Vaatimusta ei sovelleta tässä muodossa. 
Hankintayksikkö määrittelee tarvittaessa erikseen toimittajalta edellytettävät toimenpiteet tietojärjestelmien toiminnallisen käytettävyyden varmistamiseksi.</t>
  </si>
  <si>
    <t>Toimittaja tukee tilaajaa sekä toteuttaa vaatimuksen tilaajan täsmentämällä tavalla.</t>
  </si>
  <si>
    <t>Hankintayksikkö täsmentää toimittajalta vaaditut toimenpiteet.</t>
  </si>
  <si>
    <t xml:space="preserve">Toimittaja toteuttaa ja toimittaa tilaajan hyväksyttäväksi tilaajalle tuotettavien palvelujen jatkuvuuden toimenpiteet tilaajan esittämien vaatimusten perusteella.  </t>
  </si>
  <si>
    <t xml:space="preserve">Hankintayksikkö määrittelee jatkuvuusvaatimukset toimittajalle. </t>
  </si>
  <si>
    <t xml:space="preserve">Toimittaja totettaa palvelun siten, että se on siirrettävissä toiselle toimittajalle tai tilaajalle ja että tilaajan täsmennykset koskien palveluiden siirrettävyyttä täyttyvät. </t>
  </si>
  <si>
    <t xml:space="preserve">Hankintayksikkö määrittelee palveluiden siirtoihin kohdistuvat vaatimukset toimittajalle. </t>
  </si>
  <si>
    <t xml:space="preserve">Toimittaja laatii ja ylläpitää palveluidensa osalta jatkuvuussuunnitelmia. Jatkuvuussuunnitelmat ovat toimittajan ja tilaajan suojattavien tietojen kannalta kattavat ja tarkoituksenmukaiset. 
Jatkuvuudenhallinnan prosessit ja menettelyt on suunniteltu ja kuvattu siten, että toimittaja pystyy vastaamaan tilaajan vaatimuksiin ja lainsäädännön velvoitteisiin. </t>
  </si>
  <si>
    <t>Hankintayksikkö täsmentää tarvittaessa jatkuvuussuunnittelua koskevat vaatimukset.</t>
  </si>
  <si>
    <t>Toimittaja täyttää jatkuvuussuunnitelmien testauksessa ja harjoittelussa tilaajan asettamat vaatimukset sekä sitoutuu osallistumaan tilaajan järjestämiin jatkuvuudenhallintaa koskeviin harjoituksiin.</t>
  </si>
  <si>
    <t>Hankintayksikkö täsmentää jatkuvuussuunnittelmien testausta ja harjoittelua koskevat vaatimukset.</t>
  </si>
  <si>
    <t>Toimittaja toimittaa pyynnöstä tilaajalle kirjallisen kuvauksen, joka osoittaa vaatimuksen täyttymisen.</t>
  </si>
  <si>
    <t>Toimittaja toimittaa pyynnöstä tilaajalle kirjallisen kuvauksen, joka osoittaa vaatimuksen täyttymisen suhteessa tilaajan määrittelemien tärkeiden palveluiden saatavuusvaatimuksiin.</t>
  </si>
  <si>
    <t>Hankintayksikön tulee täsmentää toimittajalle, mihin palveluihin tätä vaatimusta sovelletaan sekä näiden palveluiden saatavuusvaatimukset.</t>
  </si>
  <si>
    <t>Toimittaja toimittaa pyynnöstä tilaajalle kirjallisen kuvauksen, joka osoittaa vaatimuksen täyttymisen suhteessa tilaajan tärkeiksi määrittelemien palveluiden saatavuusvaatimuksiin.</t>
  </si>
  <si>
    <t>Toimittaja varmentaa tilaajan kanssa sovitulla tavalla ja tilaajan vaatimusten mukaisesti hankinnan kohteeseen liittyvien palvelujen verkko-, palvelin- ja laiteympäristöt kahdentamalla tai muulla sovitulla tavalla.</t>
  </si>
  <si>
    <t>Hankintayksikön tulee täsmentää vikasietoisuuteen liittyvät vaatimukset.</t>
  </si>
  <si>
    <t xml:space="preserve">Toimittaja on varmistanut toipumissuunnitelmat, toipumisen ja jatkuvuuden varmistamisen tilaajan vaatimuksiin nähden riittävällä tavalla. </t>
  </si>
  <si>
    <t>Hankintayksikön tulee täsmentää toipumista koskevat vaatimukset.</t>
  </si>
  <si>
    <t>Liite 2.1, Hallinnollisen turvallisuuden vaatimukset</t>
  </si>
  <si>
    <t>Kuvaus vaatimuksen täyttämisestä</t>
  </si>
  <si>
    <t>Liite 2.2, Fyysisen turvallisuuden vaatimukset</t>
  </si>
  <si>
    <t>Liite 2.3, Teknisen turvallisuuden vaatimukset</t>
  </si>
  <si>
    <t>Liite 2.4, Varautumisen ja jatkuvuudenhallinnan vaatimukset</t>
  </si>
  <si>
    <t>Liite 2.5, Tietoturvallisuuden lisävaatimukset</t>
  </si>
  <si>
    <t>Kuvaus</t>
  </si>
  <si>
    <t>SaaS-pilvipalvelun hankinta</t>
  </si>
  <si>
    <t xml:space="preserve">Käyttötapaus on tarkoitettu SaaS-palveluina tuotettujen pilvipalveluiden hankintaan. Jos hankittavassa palvelussa on tarkoitus käsitellä henkilötietoja, tulee vaatimuksiin sisällyttää lisäksi myös henkilötietojen käsittelyä koskevat erillisvaatimukset. Käyttötapaus rajoittuu luottamuksellisuuden osalta enintään salassa pidettävän tiedon käsittelyyn pilvipalveluissa.
</t>
  </si>
  <si>
    <t>Asiantuntijatyön hankinta</t>
  </si>
  <si>
    <t xml:space="preserve">Käyttötapaus on tarkoitettu asiantuntijatyön ja konsulttipalveluiden hankinnan turvallisuusvaatimusten määrittelyyn, tilanteissa, joissa asiantuntijapalveluita tuottavaan organisaatioon kohdistetaan myös tietoturvavaatimuksia. Vaatimusten  laajuus riippuu toimeksiannon toteutustavasta. Esimerkiksi jos työtä tehdään tilaavan organisaation laitteilla, voidaan tekninen osio jättää soveltamatta. Jos työ tehdään asiakkaan tiloissa, voidaan fyysisen turvallisuuden osa-alue jättää soveltamatta.
</t>
  </si>
  <si>
    <t>Tietojenkäsittely-ympäristön hankinta</t>
  </si>
  <si>
    <t xml:space="preserve">Käyttötapaus määrittää tietojärjestelmän palvelutuotantoympäristön tai palveluntuottajan hankinnassa sovellettavan kriteeristön. Käyttötapausta voidaan käyttää esimerkiksi tietojärjestelmien kehityksessä tai palvelutuotannossa käytettävien tietojenkäsittely-ympäristöjen hankintaan. Käyttötapaus huomioi erityisesti palvelutuotannon jatkuvuudenhallintaan ja fyysiseen turvallisuuteen liittyviä vaatimuksia.
</t>
  </si>
  <si>
    <t>Ei määritelty</t>
  </si>
  <si>
    <t>Luottamuksellisuus</t>
  </si>
  <si>
    <t>Eheys</t>
  </si>
  <si>
    <t>Saatavuus</t>
  </si>
  <si>
    <t>Osa-alue</t>
  </si>
  <si>
    <t>Ryhmä</t>
  </si>
  <si>
    <t>Pääkriteeri</t>
  </si>
  <si>
    <t>Yleinen kriteeri</t>
  </si>
  <si>
    <t>Originaali</t>
  </si>
  <si>
    <t>Tila</t>
  </si>
  <si>
    <t>Yleiskuvaus</t>
  </si>
  <si>
    <t>Toteutusesimerkki</t>
  </si>
  <si>
    <t>Lainsäädäntö</t>
  </si>
  <si>
    <t>Muita lisätietoja</t>
  </si>
  <si>
    <t>Julkri-viite</t>
  </si>
  <si>
    <t>Katakri-viite</t>
  </si>
  <si>
    <t>Tunniste ja luokittelut</t>
  </si>
  <si>
    <t>Viitteet</t>
  </si>
  <si>
    <t>OAL</t>
  </si>
  <si>
    <t>LUO P</t>
  </si>
  <si>
    <t>EHE P</t>
  </si>
  <si>
    <t>SAA P</t>
  </si>
  <si>
    <t>TSU P</t>
  </si>
  <si>
    <t>TURV PAK</t>
  </si>
  <si>
    <t>LUO V</t>
  </si>
  <si>
    <t>EHE V</t>
  </si>
  <si>
    <t>SAA V</t>
  </si>
  <si>
    <t>TSU V</t>
  </si>
  <si>
    <t>TURV VAL</t>
  </si>
  <si>
    <t>KAY</t>
  </si>
  <si>
    <t>PAK</t>
  </si>
  <si>
    <t>KH</t>
  </si>
  <si>
    <t>RV</t>
  </si>
  <si>
    <t>KH+RV</t>
  </si>
  <si>
    <t>Yleiset</t>
  </si>
  <si>
    <t>HAL-01</t>
  </si>
  <si>
    <t>Henkilötieto</t>
  </si>
  <si>
    <t>Periaatteet</t>
  </si>
  <si>
    <t xml:space="preserve">Organisaatiolla on ylimmän johdon hyväksymät tietoturvallisuusperiaatteet, jotka kuvaavat organisaation tietoturvallisuustoimenpiteiden kytkeytymistä organisaation toimintaan sekä ovat tietojen suojaamisen kannalta kattavat ja tarkoituksenmukaiset.
</t>
  </si>
  <si>
    <t xml:space="preserve">Ylimmän johdon hyväksymillä tietoturvallisuusperiaatteilla osoitetaan, että johto on sitoutunut organisaation tietoturvallisuusperiaatteisiin ja periaatteet edustavat johdon tahtotilaa sekä tukevat organisaation toimintaa. Periaatteet voidaan kuvata monin eri tavoin, esimerkiksi yksittäisenä dokumenttina tai osana yleisiä toimintaperiaatteita, politiikkaa tai strategiaa.  
</t>
  </si>
  <si>
    <t>TihL 4 § 2 mom, 13 §</t>
  </si>
  <si>
    <t xml:space="preserve">ISO/IEC 27002:2022 5.1; SFS-EN ISO/IEC 27001:2017 5.1, 5.2, 5.3, 9.3; PiTuKri TJ-01
</t>
  </si>
  <si>
    <t>T-01</t>
  </si>
  <si>
    <t>HAL-02</t>
  </si>
  <si>
    <t>Tehtävät ja vastuut</t>
  </si>
  <si>
    <t xml:space="preserve">Organisaatio on määritellyt ja dokumentoinut tietoturvallisuuden hoitamisen tehtävät ja vastuut sisältäen myös palveluntuottajille kuuluvat vastuut.
</t>
  </si>
  <si>
    <t>Tietoturvallisuustyön tehtävien ja vastuiden määrittelyllä pyritään varmistamaan, että keskeisimpiin osa-alueisiin on nimetty tekijät ja heillä on tiedossaan omat vastuunsa ja valtuutensa. Organisaation johdon tehtävänä on määritellä tiedonhallintaan liittyvät vastuut. Kysymys ei ole tiedonhallintavastuiden delegoinnista, vaan niiden määrittelystä. Vastuut tulisi määritellä erityisesti turvallisuusohjeiden ylläpidosta, riskienhallinnasta, varautumisesta sekä turvallisuuden kokonaisvastuussa olevista henkilöistä. Tietoturvallisuuden vastuualueet määritellään yleensä osana turvallisuuden kokonaisvastuuta.
Vastuiden määrittelyssä tulee ottaa huomioon myös toimittajan vastuulla olevat tehtävät. Pilvipalveluita käytettäessä on huomioitava erilaiset palvelumallit sekä niihin liittyvät vastuujakojen erot asiakkaan ja palvelun tuottajan välillä.</t>
  </si>
  <si>
    <t xml:space="preserve">Organisaatio on määritellyt turvallisuuden toteuttamisen tehtävät ja niihin liittyvät vastuut seuraavilta osin:
  a) turvallisuusjohtaminen
  b) fyysinen turvallisuus 
  c) tekninen turvallisuus
  d) varautuminen ja jatkuvuudenhallinta
  e) tietosuoja
  f) riskienhallinta
  g) turvallisuuden kokonaisvastuu
</t>
  </si>
  <si>
    <t xml:space="preserve">TihL 4 § 2 mom
</t>
  </si>
  <si>
    <t xml:space="preserve">ISO/IEC 27002:2022 5.2; SFS-EN ISO/IEC 27001:2017 5.1, 5.2, 5.3; PiTuKri TJ-02; Suositus johdon vastuiden toteuttamisesta tiedonhallinnassa 2020:18, luku 3
</t>
  </si>
  <si>
    <t>T-02</t>
  </si>
  <si>
    <t>HAL-02.1</t>
  </si>
  <si>
    <t>Salassa pidettävä</t>
  </si>
  <si>
    <t>Tärkeä</t>
  </si>
  <si>
    <t>Erityinen henkilötietoryhmä</t>
  </si>
  <si>
    <t>Tehtävät ja vastuut - tehtävien eriyttäminen</t>
  </si>
  <si>
    <t xml:space="preserve">Organisaation on varmistettava, että henkilöillä ei ole tietoturvallisuuden kannalta vaarallisia työyhdistelmiä
</t>
  </si>
  <si>
    <t xml:space="preserve">Organisaation tehtävien ja vastuualueiden on oltava eriytettyjä, jotta vähennetään organisaation suojattavan omaisuuden luvattoman tai tahattoman muuntelun tai väärinkäytön riskiä. Tällaisia vaarallisia yhdistelmiä ovat esimerkiksi yksi henkilö pääsee muuttamaan sekä tietojärjestelmän tietoja että tietojärjestelmän seurannassa käytettäviä lokitietoja. Vaaralliset työyhdistelmät on huomioitava myös ulkoistetuissa toiminnoissa.
</t>
  </si>
  <si>
    <t xml:space="preserve">- Organisaatio on määritellyt vaaralliset työyhdistelmät
- Vaaralliset työyhdistelmät tarkastetaan osana tehtävien määrittelyjä
- Vaaralliset työyhdistelmät tarkastetaan osana käyttöoikeuksien hallintaa erityisesti pääkäyttäjä- ja valvontaroolien kohdalla
</t>
  </si>
  <si>
    <t xml:space="preserve">ISO/IEC 27002:2022 5.3
</t>
  </si>
  <si>
    <t>I-06</t>
  </si>
  <si>
    <t>HAL-03</t>
  </si>
  <si>
    <t>Resurssit</t>
  </si>
  <si>
    <t xml:space="preserve">Organisaatiolla on käytössään riittävät resurssit ja asiantuntemus tietoturvallisuuden varmistamiseksi.
</t>
  </si>
  <si>
    <t xml:space="preserve">Resursoinnilla ja asiantuntemuksella varmistetaan, että tietoturvallisuustyö voidaan toteuttaa määriteltyjen periaatteiden mukaisesti. Tietoturvallisuustyön resursseilla tarkoitetaan sekä henkilöresursseja että taloudellisia panostuksia, kuten tietojärjestelmäinvestointeja.
Yleisinä vaatimuksina voidaan pitää, että organisaatiolla tulee olla henkilöitä tietoturvallisuuden hallinnan edellyttämiin tehtäviin ja että henkilöillä osaamista ja aikaa vaadittujen tehtävien suorittamiseen. 
Lisäksi organisaatiolla tulee olla kykyä ja halua tehdä sellaiset tietoturvallisuuteen liittyvät investoinnit, jotka tietoturvallisuusvaatimusten ja riskien arvioinnin perusteella on tunnistettu tarpeellisiksi.
</t>
  </si>
  <si>
    <t xml:space="preserve">- Tietoturvallisuustehtäviä hoitavilla on riittävä asiantuntemus sekä näistä on näyttöjä.
- Tietoturvallisuustyön resurssit, tehtävät, vastuut ja valtuudet on määritelty organisaation toimintaan, kokoon ja riskeihin nähden riittävän kattavasti.
- Resurssit riittävät tietoturvallisuuden hallintajärjestelmän luomiseen, toteuttamiseen, ylläpitoon ja jatkuvaan parantamiseen.
- Resurssien riittävyyttä arvioidaan säännöllisesti.
- Organisaatio tekee tarvittavat päätökset tietoturvallisuuden edellyttämistä laite- ja muista investoinneista
</t>
  </si>
  <si>
    <t xml:space="preserve">SFS-EN ISO/IEC 27001:2017 7.1, 7.2, 5.1 
</t>
  </si>
  <si>
    <t>T-05</t>
  </si>
  <si>
    <t>HAL-04</t>
  </si>
  <si>
    <t>Suojattavat kohteet</t>
  </si>
  <si>
    <t xml:space="preserve">Organisaatio tunnistaa suojattavat kohteet sekä pitää niistä ajantasaista dokumentaatiota.
</t>
  </si>
  <si>
    <t>Suojattavien kohteiden luettelointi on yksi tietoturvallisuuden hallinnan perusvaatimuksista. Suojattavia kohteita ovat tiedot, tietojärjestelmät, tietojenkäsittelyprosessit, tilat sekä muut mahdollisesti organisaation tietoturvallisuuteen vaikuttavat kohteet. Nykyisissä tietojenkäsittely-ympäristöissä suojattavia kohteita voivat olla myös muut kuin perinteiset tietotekniset kohteet, kuten erilaiset sensori- ja analyysilaitteet sekä IoT- ja automaatioympäristöt.
Suojattavien kohteiden luettelointi on välttämätön edellytys suunnitelmallisen ja vaikuttavan tietoturvallisuuden hallinnan toteuttamiseksi. Ajantasaista luetteloa suojattavasta omaisuudesta hyödynnetään lähtötietona monilla tietoturvallisuuden hallinnan osa-alueilla.</t>
  </si>
  <si>
    <t xml:space="preserve">TihL 5 § 2 mom, 13 §
</t>
  </si>
  <si>
    <t xml:space="preserve">ISO/IEC 27002:2022 5.9; Suositus tiedonhallintamallista 2020:29
</t>
  </si>
  <si>
    <t>HAL-04.1</t>
  </si>
  <si>
    <t>Suojattavat kohteet - vastuut</t>
  </si>
  <si>
    <t xml:space="preserve">Organisaatio määrittelee suojattavien kohteiden vastuut.
</t>
  </si>
  <si>
    <t xml:space="preserve">ISO/IEC 27002:2022 5.9; Suositus tiedonhallintamallista VM 2020:29
</t>
  </si>
  <si>
    <t>HAL-04.2</t>
  </si>
  <si>
    <t>Suojattavat kohteet - luokittelu</t>
  </si>
  <si>
    <t xml:space="preserve">Organisaation on luokiteltava tiedot sekä niihin liittyvät järjestelmät ja käsittelyprosessit niihin kohdistuvien vaatimusten perusteella.
</t>
  </si>
  <si>
    <t xml:space="preserve">Organisaation tulee tunnistaa lainsäädännöstä käsittelemänsä julkiset, salassa pidettävät, turvallisuusluokitellut ja henkilötiedot sekä niiden suojaamisen tarpeet. Luokittelulla tarkoitetaan erilaisista käsittelyvaatimuksista johtuvaa tarvetta suojata tietoa eri tasoilla.
Luokittelemalla tietojenkäsittely-ympäristöt tietoaineiston mukaisesti, pystytään helpommin osoittamaan ja perustelemaan kuhunkin tietojenkäsittely-ympäristöön liittyvät tietoturvallisuustoimenpiteet. Luokittelu olisi sisällytettävä organisaation prosesseihin ja sen olisi oltava johdonmukainen ja yhdenmukainen koko organisaatiossa.
Luokittelu toimii lähtötietona useille muille tietoturvallisuuden prosesseille. Esimerkiksi järjestelmien saatavuusvaatimukset liittyvät järjestelmien vikasietoisuuden ja varautumisen suunnitteluun ja luottamuksellisuusvaatimukset järjestelmien tietoturvallisuusvaatimusten määrittelyyn.
Tietojärjestelmän tai muun useita tietoaineistoja sisältävän kohteen luokitus määräytyy ensi sijassa korkeimman luokituksen aineiston mukaan. Tietojärjestelmien luokitusta arvioitaessa tulee huomioida myös kasautumisvaikutus riskilähtöisesti. Suuresta määrästä tietyn luottamuksellisuuden tason tietoa koostuvissa tietojärjestelmissä asiakokonaisuus voi nousta luokitukseltaan yksittäistä tietoa korkeammalle tasolle. Määrä ei ole kuitenkaan ainoa tekijä, vaan joskus esimerkiksi kahden eri tietolähteen yhdistäminen voi johtaa tietovarannon luokituksen nousemiseen. Tyypillisesti kasautumisessa on kysymys IV-luokan tiedosta (esimerkiksi suuri määrä turvallisuusluokan IV tietoa voi muodostaa yhdistettynä turvallisuusluokan III tietovarannon).
</t>
  </si>
  <si>
    <t xml:space="preserve">- Organisaatio määrittelee tietojen sekä niihin liittyvien tietojärjestelmien ja käsittelyprosessien luokittelussa käytettävät tasot luottamuksellisuuden, saatavuuden ja eheyden sekä näkökulmista. Tarvittaessa luokittelua voidaan laajentaa kattamaan myös muita näkökulmia kuten esimerkiksi sisältääkö tiedot henkilötietoja.
- Organisaatio määrittelee kriteerit, joiden mukaan tiedot ja muut kohteet luokitellaan eri luokkiin.
- Luokat ja niihin liittyvät kriteerit perustuvat lakisääteisiin vaatimuksiin, mutta organisaatioiden tulee täsmentää kriteerit siten, että ne ovat tarkoituksenmukaisia organisaatiossa työskenteleville henkilöille.
- Luokittelu voidaan tehdä suojattavien kohteiden luetteloinnin yhteydessä ja sisällyttää luetteloon suojattavista tiedoista - esimerkiksi tiedonhallintamalliin.
</t>
  </si>
  <si>
    <t>TihL 4 § 2 mom, 5 §, 13 §, 18 §; TLA 3 §, 4 §; JulkL 24 §</t>
  </si>
  <si>
    <t xml:space="preserve">Suosituskokoelma tiettyjen tietoturvallisuussäännösten soveltamisesta 2021:65, luku 4.1; Suositus turvallisuusluokiteltavienasiakirjojen käsittelystä 2021:5 luku 2, luku 5.3; ISO/IEC 27002:2022 5.9
</t>
  </si>
  <si>
    <t>T-08</t>
  </si>
  <si>
    <t>HAL-04.3</t>
  </si>
  <si>
    <t>Suojattavat kohteet - kasautumisvaikutus</t>
  </si>
  <si>
    <t xml:space="preserve">Kasautumisvaikutus on huomioitu suojattavien kohteiden luokittelussa.
</t>
  </si>
  <si>
    <t xml:space="preserve">Tietojärjestelmän tai muun useita tietoaineistoja sisältävän kohteen luokitus määräytyy ensi sijassa korkeimman luokituksen aineiston mukaan. Tietojärjestelmien luokitusta arvioitaessa tulee huomioida myös kasautumisvaikutus riskilähtöisesti. Suuresta määrästä tietyn luottamuksellisuuden tason tietoa koostuvissa tietojärjestelmissä asiakokonaisuus voi nousta luokitukseltaan yksittäistä tietoa korkeammalle tasolle. Määrä ei ole kuitenkaan ainoa tekijä, vaan joskus esimerkiksi kahden eri tietolähteen yhdistäminen voi johtaa tietovarannon luokituksen nousemiseen. Tyypillisesti kasautumisessa on kysymys IV-luokan tiedosta (esimerkiksi suuri määrä turvallisuusluokan IV tietoa voi muodostaa yhdistettynä turvallisuusluokan III tietovarannon), mutta kasautumisvaikutus tulee huomioida myös turvallisuusluokittelemattoman salassa pidettävän tiedon suojaamisessa.
</t>
  </si>
  <si>
    <t>TihL 5 § 2 mom, 13 § 1 mom</t>
  </si>
  <si>
    <t>HAL-06, TEK-06</t>
  </si>
  <si>
    <t>HAL-04.4</t>
  </si>
  <si>
    <t>Suojattavat kohteet - merkitseminen</t>
  </si>
  <si>
    <t xml:space="preserve">Organisaation on merkittävä tiedot lakisääteisten vaatimusten sekä organisaation määrittelemien luokitteluperiaatteiden mukaisesti.
</t>
  </si>
  <si>
    <t xml:space="preserve">Tiedon merkitsemistapojen pitää kattaa sekä fyysisessä että sähköisessä muodossa olevat tiedot ja niihin liittyvä suojattava omaisuus kuten tietovälineet. 
Merkintöjen olisi oltava organisaation määrittelemien luokitteluperiaatteiden mukaisia ja helposti tunnistettavia. Organisaation olisi ohjeistettava, mihin ja miten merkinnät kiinnitetään. Ohjeistuksessa tulee ottaa huomioon myös tulosteet. Lisäksi tarpeettoman työn säästämiseksi kannattaa ohjeistaa, milloin merkintöjä ei tarvita. 
Tietyissä tapauksissa, kuten esimerkiksi julkisuuslain mukaisista salassa pitoa koskevista merkinnöistä tulee myös käydä ilmi, miltä osin asiakirja on salassa pidettävä sekä mihin salassapito perustuu.
</t>
  </si>
  <si>
    <t xml:space="preserve">TihL 18 §; TLA 3 §, 4 §; JulkL 25 §
</t>
  </si>
  <si>
    <t xml:space="preserve">Suositus turvallisuusluokiteltavienasiakirjojen käsittelystä 2021:5 luku 3; ISO/IEC 27002:2022 5.13
</t>
  </si>
  <si>
    <t>HAL-04.5</t>
  </si>
  <si>
    <t>Suojattavat kohteet - riippuvuudet</t>
  </si>
  <si>
    <t xml:space="preserve">Organisaatio on tunnistanut ja dokumentoinut suojattavien kohteiden väliset riippuvuudet. 
</t>
  </si>
  <si>
    <t>TihL 5 §</t>
  </si>
  <si>
    <t>HAL-04.6</t>
  </si>
  <si>
    <t>Suojattavat kohteet - sidosryhmät</t>
  </si>
  <si>
    <t xml:space="preserve">Organisaatio on tunnistanut ja dokumentoinut suojattaviin kohteisiin liittyvät sidosryhmät. 
</t>
  </si>
  <si>
    <t>HAL-05</t>
  </si>
  <si>
    <t>Vaatimukset</t>
  </si>
  <si>
    <t xml:space="preserve">Organisaatio tunnistaa lainsäädännöstä, sidosryhmistä sekä organisaation toiminnasta johtuvat tietoturvavaatimukset.
</t>
  </si>
  <si>
    <t xml:space="preserve">Organisaation tulee tunnistaa ja yksilöidä lainsäädännöstä, eri sidosryhmien kanssa laadituista sopimuksista sekä organisaation toiminnasta johtuvat tietoturvallisuutta koskevat vaatimukset. Lisäksi organisaation tulee tunnistaa ja ottaa huomioon toimialakohtaisesta lainsäädännöstä sekä kansainvälisestä lainsäädännöstä ja EU-sääntelystä johtuvat vaatimukset.
Julkisessa hallinnossa noudatettavat tiedonhallintalakiin perustuvat tietoturvallisuuden vähimmäisvaatimukset, ja niiden noudattamisesta annetut suositukset on määritelty tiedonhallintalautakunnan suosituksen 2021:65 luvussa 2. 
Organisaation tietoturvallisuusvaatimukset muodostuvat edellä mainituista vähimmäisvaatimuksista sekä muista tunnistetuista vaatimuksista. Kunkin vaatimuksen toteuttamisen menettely arvioidaan riskiarviointiprosessin avulla.
</t>
  </si>
  <si>
    <t>TihL 13 §</t>
  </si>
  <si>
    <t xml:space="preserve">SFS-EN ISO/IEC 27001:2017 4.2; Suosituskokoelma tiettyjen tietoturvallisuussäännösten soveltamisesta 2021:65 luvut 2 ja 4
</t>
  </si>
  <si>
    <t>HAL-05.1</t>
  </si>
  <si>
    <t>Vaatimukset - seuranta</t>
  </si>
  <si>
    <t xml:space="preserve">Organisaatio seuraa asetettujen tietoturvallisuusvaatimusten ja toimintaympäristön muutoksia ja tekee tarvittavat toimenpiteet niihin reagoimiseksi.
</t>
  </si>
  <si>
    <t xml:space="preserve">Lainsäädäntö, sopimusvaatimukset sekä muuttuvat tietoturvallisuusuhat edellyttävät säännöllistä vaatimusten ja uhkien seurantaa ja muutoksiin reagoimista.
</t>
  </si>
  <si>
    <t>TihL 4 § 2 mom, 13 § 1 mom</t>
  </si>
  <si>
    <t xml:space="preserve">SFS-EN ISO/IEC 27001:2017 9.1; Suosituskokoelma tiettyjen tietoturvallisuussäännösten soveltamisesta 2021:65 luku 4.1
</t>
  </si>
  <si>
    <t>HAL-05.2</t>
  </si>
  <si>
    <t>Vaatimukset - muutosvaikutukset</t>
  </si>
  <si>
    <t xml:space="preserve">Organisaatio arvioi olennaisten hallinnollisten uudistusten ja tietojärjestelmien käyttöönottojen muutosvaikutukset suhteessa tietoturvallisuusvaatimuksiin ja -toimenpiteisiin.
</t>
  </si>
  <si>
    <t xml:space="preserve">Olennaisten muutosten yhteydessä organisaatioilta edellytetään muutosvaikutusten arviointia. Osana muutosvaikutusten arviointia on arvioitava muutosten vaikutukset  suhteessa tietoturvallisuusvaatimuksiin ja -toimenpiteisiin.
</t>
  </si>
  <si>
    <t xml:space="preserve">Suositus tiedonhallinnan muutosvaikutusten arvioinnista 2020:53; ISO/IEC 27002:2022 5.31 
</t>
  </si>
  <si>
    <t>HAL-06</t>
  </si>
  <si>
    <t>Riskienhallinta</t>
  </si>
  <si>
    <t xml:space="preserve">Organisaatio toteuttaa tietoturvallisuusriskien hallintaa ja on arvioinut olennaiset tietoihin kohdistuvat riskit sekä mitoittanut tietoturvallisuustoimenpiteet riskiarvioinnin mukaisesti.
</t>
  </si>
  <si>
    <t xml:space="preserve">Tietoturvallisuusriskien hallintaprosessi koostuu toimintaympäristön määrittämisestä, riskien arvioinnista (tunnistaminen, analysointi, merkityksen arviointi), riskien käsittelystä, riskien hyväksynnästä, riskejä koskevasta viestinnästä ja tiedonvaihdosta sekä riskien seurannasta ja katselmoinnista.
Tietoturvallisuusriskien hallinta on osa organisaation toimintaa ja muuta riskienhallintaa.  Tietoturvallisuusriskien hallinnan avulla varmistetaan tietoturvallisuustoimenpiteiden riittävyys tietojen luottamuksellisuuden, eheyden ja saatavuuden suojaamiseksi. 
Riskienhallinta vaikuttaa muihin tietoturvallisuuden hallinnan eri osa-alueisiin. Riskienhallinta tulee suunnitella ja ohjeistaa siten, että siinä käsitellään systemaattisesti ja suunnitelmallisesti erilaisia tietoturvallisuuteen liittyviä riskejä kuten tietosisällön virheellisyyksistä johtuvia riskejä, organisaation toiminnan keskeytyksiin liittyviä riskejä sekä henkilötietojen tietoturvaloukkauksiin liittyviä riskejä.
</t>
  </si>
  <si>
    <t xml:space="preserve">- Tietoturvallisuusriskien arvioinnissa ja analysoinnissa käytetään yleisesti hyväksyttyä menetelmää.
- Tietoturvallisuusriskien arvioinneista laaditaan aikataulutettu ja vastuutettu vuosisuunnitelma
- Tietoturvallisuusriskien hallintaan osallistuu riittävästi asiantuntijoita.
- Tietoturvallisuusriskien hallinnassa on otettu huomioon sidosryhmistä ja toimitusketjuista aiheutuvat riskit.
- Tietoturvallisuusriskien arviointia hyödynnetään muissa tietoturvallisuuden hallinnan prosesseissa. 
</t>
  </si>
  <si>
    <t xml:space="preserve">TihL 13 § 1 mom; TLA 6 §, 7 §
</t>
  </si>
  <si>
    <t xml:space="preserve">SFS-EN ISO/IEC 27001:2017 6.1 ja 8-10; SFS-EN ISO/IEC 27005:2018 luku 6; SFS ISO 31000:2018; PiTuKri TJ-03; Suositus turvallisuusluokiteltavien asiakirjojen käsittelystä 2021:5 luku 5.2; Suosituskokoelma tiettyjen tietoturvallisuussäännösten soveltamisesta 2021:65 luku 6
</t>
  </si>
  <si>
    <t>FYY-01, TEK-01, TEK-14, TEK-16</t>
  </si>
  <si>
    <t>T-03</t>
  </si>
  <si>
    <t>HAL-06.1</t>
  </si>
  <si>
    <t>Riskienhallinta - lainsäädäntöjohdannaiset riskit</t>
  </si>
  <si>
    <t xml:space="preserve">Palveluun liittyvät lainsäädäntöjohdannaiset riskit on tunnistettu, arvioitu ja niistä on huolehdittu.
</t>
  </si>
  <si>
    <t xml:space="preserve">Lainsäädäntöjohdannaisilla riskeillä viitataan eri maiden lainsäädännössä oleviin mahdollisuuksiin velvoittaa palveluntarjoaja toimimaan yhteistyössä kyseisen maan viranomaisten kanssa, ja tarjoamaan esimerkiksi suora tai epäsuora pääsy palvelun asiakkaiden salassa pidettäviin tietoihin. Lainsäädäntöjohdannaiset riskit voivat ulottua sekä salassa pidettävän tiedon fyysiseen sijaintiin sekä muun muassa toisesta maasta käsin hallintayhteyksien kautta toteutettavaan tietojen luovutukseen. Lainsäädäntöjohdannainen tietojen luovuttaminen ja tutkimusoikeus on useissa maissa rajattu koskevaksi poliisia sekä tiedusteluviranomaisia.
Organisaation tulee varmistaa, että lainsäädäntöjohdannaiset riskit eivät rajoita palvelun soveltuvuutta sen käyttötarkoitukseen. Lainsäädäntöjohdannaisten riskien arvioinnissa on otettu huomioon koko palvelun tuottamisessa käytetty toimitusketju, ja niiden valtioiden säännökset, joiden mukaisesti palvelua tuotetaan sekä riski tietojen oikeudettomasta paljastumisesta näiden valtioiden viranomaisille. Suosituksen turvallisuusluokiteltavien asiakirjojen käsittelystä pilvipalveluissa (VM 2022:4) mukaisesti suositeltavaa on, että pilvipalveluihin liittyvien riskien hallitsemiseksi turvallisuusluokiteltujen tietoaineistojen käsittelyssä käytetään ainoastaan viranomaisten luotettaviksi arvioimia pilvipalveluita ja  tarjoajia. Jos turvallisuusluokiteltuja tietoaineistoja käsitellään kansainvälisissä pilvipalveluissa, suosituksena on lisäksi, että käsiteltävät turvallisuusluokitellut tietoaineistot rajataan ja valitaan käyttötapausten ja niihin liittyvien viranomaisprosessien perusteella tarkasti ja siten, että ne ovat luovutettavissa valtioihin, joiden lainkäyttövaltaan pilvipalvelujen tarjoaja ja sen alihankkijat kuuluvat. 
</t>
  </si>
  <si>
    <t xml:space="preserve">Riskienarvioinnin tulisi kattaa lainsäädäntöjohdannaiset riskit vähintään seuraavien tekijöiden osalta:
a) Palvelussa käsiteltävän tiedon fyysinen sijainti koko tiedon elinkaaren ajalta, kattaen myös mahdolliset alihankinta- ja ulkoistusketjut.
b) Palvelun eri toimintojen (esimerkiksi ylläpito- ja hallintaratkaisut, varmistukset) ja komponenttien fyysinen sijainti koko tiedon elinkaaren ajalta.
c) Mahdolliset muut palvelun tuottamiseen osallistuvat tahot, esimerkiksi  mahdolliset alihankinta-ja ulkoistusketjut.
d) Palvelun käyttöön ja palvelussa käsiteltäviin tietoihin sovellettava lainsäädäntö ja oikeuspaikka.
e) Toimijat, joilla voi sovellettavasta lainsäädännöstä johtuen olla pääsy palvelussa käsiteltäviin tietoihin.
Lainsäädäntöjohdannaisten riskien arvioimiseksi palvelun toimittajalta tulee edellyttää kuvauksia kyseisessä palvelussa käsiteltäviin tietoihin kohdistuvista lainsäädäntöjohdannaisista riskeistä. Kuvausten on oltava sellaisia, että niiden perusteella pystytään luotettavasti arvioimaan kyseisen palvelun yleistä soveltuvuutta kyseiseen asiakkaan käyttötapaukseen. Kuvausten tulee kattaa palvelun käytön ja palvelussa käsiteltävien tietojen koko elinkaaren, huomioiden myös edellä mainittujen alakohtien a-e sisällön. Arvioinnissa suositellaan noudatettavan PiTuKrissa kuvattuja (EE-02 / Taulukko 2) jatkoarvioinnin yleisperiaatteita.
Turvallisuusluokittelemattomien salassa pidettävien tietojen suojaamisessa on huomioitavaa, että tällaisten tietojen suojaamisessa voidaan hyväksyä turvallisuusluokiteltuun tietoon nähden laajemmin lainsäädäntöjohdannaisia riskejä. 
</t>
  </si>
  <si>
    <t xml:space="preserve">SFS-EN ISO/IEC 27001:2017 6.1 ja 8-10; SFS-EN ISO/IEC 27005:2018 luku 6; SFS ISO 31000:2018; PiTuKri TJ-03 ja EE-02; Suositus turvallisuusluokiteltavien asiakirjojen käsittelystä 2021:5 luku 5.2; Suosituskokoelma tiettyjen tietoturvallisuussäännösten soveltamisesta 2021:65 luku 6
</t>
  </si>
  <si>
    <t>FYY-01, TEK-01, TEK-14, TEK-16, TSU-18</t>
  </si>
  <si>
    <t>HAL-07</t>
  </si>
  <si>
    <t>Seuranta ja valvonta</t>
  </si>
  <si>
    <t xml:space="preserve">Organisaatiossa on järjestetty seuranta ja valvonta tietoturvallisuuteen liittyvien prosessien toimivuudesta ja vaatimusten täyttymisestä.
</t>
  </si>
  <si>
    <t xml:space="preserve">Organisaation on seurattava toimintaympäristönsä tietoturvallisuuden tilaa ja varmistettava tietoaineistojen ja tietojärjestelmien tietoturvallisuus koko niiden elinkaaren ajan.
Tiedon elinkaari alkaa tiedon tuottamis- tai vastaanottovaiheessa ja päättyy tiedon pysyvään säilyttämiseen arkistossa tai tiedon tuhoamiseen. Tiedon elinkaari kattaa kaikki tiedon käsittelyn vaiheet, jotka ovat tiedon tuottaminen tai vastaanotto, säilytys, käyttö, jakaminen, siirto ja arkistointi tai tuhoaminen. 
Tietoturvallisuuden seurannan mittareina voidaan käyttää sekä hallintakeinojen suorituskykyyn että vaikuttavuuteen perustuvia mittareita, jotka voivat olla numeerisia tai laadullisia. Seurannan perustana ovat havaitut poikkeamat, joiden pohjalta laaditaan ehdotuksia tietoturvallisuuden kehittämiseksi. 
Mittarit voivat olla esimerkiksi numeerisia raja-arvoja (esim. palveluiden saatavuus vähintään 99 %) tai vaatimustenmukaisuuden todentamista (esim. vuosikellon mukaiset arvioinnit ja katselmoinnit on hoidettu suunnitellusti).
</t>
  </si>
  <si>
    <t xml:space="preserve">Paljon salassa pidettäviä tietoja käsittelevä organisaation on määritellyt esimerkiksi:
  a) mitä täytyy seurata ja mitata, 
  b) millä seuranta-, mittaus-, analysointi- tai arviointimenetelmillä varmistetaan kelvolliset tulokset
  c) milloin seuranta ja mittaus on toteutettava
  d) ketkä toteuttavat seurannan ja mittaamisen
  e) milloin seurannan ja mittauksen tuloksia on analysoitava ja arvioitava
  f) ketkä analysoivat ja arvioivat saadut tulokset
</t>
  </si>
  <si>
    <t xml:space="preserve">TihL 4 § 2 mom, 13 § 1 mom  
</t>
  </si>
  <si>
    <t xml:space="preserve">SFS-EN ISO/IEC 27001:2017 9.1; Suositus johdon vastuiden toteuttamisesta tiedonhallinnassa 2020:18, luku 7
</t>
  </si>
  <si>
    <t>T-01, I-19</t>
  </si>
  <si>
    <t>HAL-07.1</t>
  </si>
  <si>
    <t>Seuranta ja valvonta - tietojen käyttö ja luovutukset</t>
  </si>
  <si>
    <t xml:space="preserve">Organisaatio on tunnistanut lokitietojen keräämiseen liittyvät vaatimukset ja varmistanut niiden perusteella lokitietojen keräämisen ja seurannan riittävyyden. 
</t>
  </si>
  <si>
    <t xml:space="preserve">Lokitiedot ovat yksi keskeisimmistä keinoista tietojen käytön ja luovutusten seurantaan. Tiedonhallintalain mukaan lokitiedot tulee kerätä, jos tietojärjestelmän käyttö edellyttää tunnistautumista tai muuta kirjautumista. Lisäksi tietosuoja-asetuksen osoitusvelvollisuus henkilötietojen käsittelyn turvallisuudesta edellyttää usein käytännössä lokitietojen keruuta ja seurantaa. 
Lokitiedot tulee kerätä tietojärjestelmän käytöstä ja tietojen luovutuksista, mutta tietojen kerääminen on sidottu tarpeellisuuteen. Jos tietojärjestelmästä luovutetaan rajapintojen tai katseluyhteyden avulla salassa pidettäviä tietoja tai henkilötietoja, tulee luovuttavassa järjestelmässä kerätä luovutuslokitiedot sen varmistamiseksi, että tietojen luovuttamiselle on ollut laillinen perusteensa. Lisäksi käyttölokitiedot tulee kerätä ainakin tietojärjestelmistä, joissa käsitellään henkilötietoja tai salassa pidettäviä tietoja.
</t>
  </si>
  <si>
    <t xml:space="preserve">Paljon salassa pidettäviä tietoja käsittelevä organisaatio voi toteuttaa esimerkiksi seuraavat toimenpiteet:
- Organisaatio määrittelee osana palvelujen ja tietojärjestelmien hankintaa niihin liittyvät lokitietojen keruun vaatimukset ja varmistaa niiden täyttymisen.
- Organisaatio määrittelee tietojärjestelmittäin tietojen käytön ja luovutusten seurannan tarpeet ja menettelyt.
- Seurannan menettelyitä arvioidaan määräajoin.
- Organisaatio määrittelee lokitietojen säilyttämiseen, hävittämiseen ja suojaamiseen liittyvät vastuut ja varmistaa niiden täyttymisen.
- Mikäli lokitietojen käyttö on laaja-alaista, organisaatio voi harkita keskitettyyn lokitietojen hallintaan (SIEM) siirtymistä.
</t>
  </si>
  <si>
    <t xml:space="preserve">TihL 17 §
</t>
  </si>
  <si>
    <t xml:space="preserve">Kyberturvallisuuskeskus, Näin keräät ja käytät lokitietoja; Suosituskokoelma tiettyjen tietoturvallisuussäännösten soveltamisesta 2021:65, luku 14; ISO/IEC 27002:2022 5.31, 8.15
</t>
  </si>
  <si>
    <t>I-10</t>
  </si>
  <si>
    <t>HAL-08</t>
  </si>
  <si>
    <t>Häiriöiden hallinta</t>
  </si>
  <si>
    <t xml:space="preserve">Organisaatiolla on tietoturvallisuushäiriöiden ja poikkeamatilanteiden käsittelyyn määritellyt prosessit ja ohjeet.
</t>
  </si>
  <si>
    <t xml:space="preserve">Tietoturvallisuushäiriöiden hallinnalla pyritään varmistamaan, että organisaatio kykenee toimimaan tehokkaasti ei-toivotuissa, odottamattomissa tilanteissa, minimoiden vahingot ja palauttaen tilanteen normaaliksi sekä varmistamaan, ettei samankaltainen häiriö ole mahdollinen muualla organisaatiossa. 
Organisaatiolla tulee olla häiriöiden käsittelyprosessi, joka ottaa kantaa vähintään tilanteen vakavuuden määrittelemiseen, lisävahinkojen estämiseen, todisteiden keräämiseen, tilanteen selvittämiseen, tilanteesta viestimiseen, korjaavien toimenpiteiden toteuttamiseen ja tilanteesta oppimiseen. 
Käsittelyprosessissa tulee ottaa huomioon palvelun aikakriittisyys ja sitä suunniteltaessa tulee arvioida tarpeet virka-ajan ulkopuolella tapahtuvien häiriöiden hallinnalle.
Organisaatiossa on myös selvitetty, mitkä kansalliset ja kansainväliset säädökset tai organisaation tekemät sopimukset edellyttävät tietoturvapoikkeamista tai niiden epäilystä ilmoittamista viranomaisille. Ilmoittamisen kriteerit, vastuut, yhteystiedot sekä tiedottamisen määräajat on määritetty ja dokumentoitu.
</t>
  </si>
  <si>
    <t xml:space="preserve">Tietoturvallisuushäiriöiden hallinta on
- suunniteltu ottaen huomioon koko palveluketju sekä virka-ajan ulkopuolella tapahtuvat häiriöt,
- ohjeistettu ja koulutettu,
- dokumentoitu riittävällä tasolla,
- harjoiteltu, sekä
- viestintäkäytännöt ja vastuut on sovittu
</t>
  </si>
  <si>
    <t>TihL 4 § 2 mom ja 13 §; TLA 7 §</t>
  </si>
  <si>
    <t xml:space="preserve">ISO/IEC 27002:2022 5.24; PiTuKri TJ-04
</t>
  </si>
  <si>
    <t>T-07</t>
  </si>
  <si>
    <t>HAL-09</t>
  </si>
  <si>
    <t>Dokumentointi</t>
  </si>
  <si>
    <t xml:space="preserve">Tietoturvallisuuteen liittyvät politiikat, prosessit, ohjeet ja prosessien toteuttamisessa syntyvät tulokset on dokumentoitu.
</t>
  </si>
  <si>
    <t xml:space="preserve">- Organisaatio on määritellyt tietoturvallisuuden hallinnan edellyttämät sekä tietoturvallisuuden hallinnan eri prosesseissa syntyvät dokumentit.
- Dokumentaatiolle on määritelty ylläpito- ja jakeluprosessit
- Dokumentaation oikeudet ja suojaukset on määritelty
</t>
  </si>
  <si>
    <t xml:space="preserve">TihL 5 §, 6 §, 13 § 1 mom </t>
  </si>
  <si>
    <t>ISO/IEC 27002:2022 5.37</t>
  </si>
  <si>
    <t>HAL-09.1</t>
  </si>
  <si>
    <t>Dokumentointi - ajantasaisuus</t>
  </si>
  <si>
    <t xml:space="preserve">Tietoturvallisuuteen liittyvä dokumentaatio on ajantasaista.
</t>
  </si>
  <si>
    <t xml:space="preserve">- Organisaatiolla on prosessi, jonka avulla seurataan dokumentaation kattavuutta ja ajantasaisuutta
- Dokumentaation puutteisiin reagoidaan 
</t>
  </si>
  <si>
    <t>Henkilöstöturvallisuus</t>
  </si>
  <si>
    <t>HAL-10</t>
  </si>
  <si>
    <t>Henkilöstön luotettavuuden arviointi</t>
  </si>
  <si>
    <t xml:space="preserve">Organisaatio tunnistaa ne tehtävät, joiden suorittaminen edellyttää sen palveluksessa olevilta tai sen lukuun toimivilta henkilöiltä erityistä luotettavuutta.
</t>
  </si>
  <si>
    <t xml:space="preserve">Erityistä luotettavuutta edellyttäviä tehtäviä voidaan tunnistaa esimerkiksi määrittämällä tilanteet, joissa henkilö käsittelee turvallisuusluokiteltavia tai merkittävässä määrin ja säännöllisesti salassa pidettäviä tietoja tai työskentelee tiloissa, joissa henkilön tietoon voi tulla muutoin kuin satunnaisesti turvallisuusluokiteltavia tai salassa pidettäviä tietoja. 
</t>
  </si>
  <si>
    <t xml:space="preserve">- Organisaatio laatii kuvauksen sellaisista tietoaineistojen käsittelyyn liittyvistä
tehtävistä, jotka edellyttävät erityistä luotettavuutta. 
- Näihin tehtäviin nimettävistä henkilöistä haetaan turvallisuusselvitys, mikäli tähän on turvallisuusselvityslain mukaan peruste.
- Lisäksi tiedonhallintayksikkö ylläpitää luetteloa näistä tehtävistä.
</t>
  </si>
  <si>
    <t xml:space="preserve">TihL 12 §; 
</t>
  </si>
  <si>
    <t>Turvallisuusselvityslaki 726/2014; ISO/IEC 27002:2022 6.1</t>
  </si>
  <si>
    <t>T-10</t>
  </si>
  <si>
    <t>HAL-10.1</t>
  </si>
  <si>
    <t>Kriittinen</t>
  </si>
  <si>
    <t>Henkilöstön luotettavuuden arviointi - turvallisuusselvitys</t>
  </si>
  <si>
    <t xml:space="preserve">Organisaatio arvioi turvallisuusselvityksen tarpeen ja mikäli sellaista edellytetään, myöntää henkilöille pääsyn suojattaviin kohteisiin vasta turvallisuusselvityksen jälkeen.
</t>
  </si>
  <si>
    <t xml:space="preserve">Henkilöturvallisuusselvityksen laatimisen edellytyksistä säädetään turvallisuusselvityslaissa (726/2014).
Henkilöturvallisuusselvitys voidaan tehdä ihmisestä, joka työssään pääsee esimerkiksi turvallisuuden kannalta tärkeään tilaan tai käsittelee salassa pidettävää tietoa. 
Turvallisuusselvityksen laajuus riippuu ihmisen työtehtävästä ja tarvittavista oikeuksista esimerkiksi salassa pidettävän tiedon käsittelyyn. Selvityksen laajuus ratkaisee, mitä tietolähteitä selvityksen tekemisessä käytetään. Henkilöä itseään voidaan tarvittaessa haastatella.
Turvallisuusselvityksen hakee  useimmiten työnantaja ja työntekijä täyttää aluksi turvallisuusselvitykseen liittyvät lomakkeet. 
</t>
  </si>
  <si>
    <t xml:space="preserve">- Rekrytointien,  tehtävämuutosten sekä ulkoisten palveluhankintojen yhteydessä tarkastetaan, edellyttääkö tehtävä turvallisuusselvitystä,
- tarvittaessa organisaatio on määritellyt turvallisuusselvitysten hakemiseen prosessin
</t>
  </si>
  <si>
    <t>TihL 12 §; TLA 9 §</t>
  </si>
  <si>
    <t>Valtion virkamieslaki 750/1994  8 c §</t>
  </si>
  <si>
    <t>HAL-11</t>
  </si>
  <si>
    <t>Salassapito- ja vaitiolovelvollisuus</t>
  </si>
  <si>
    <t xml:space="preserve">Tietoa käsitteleville henkilöille on selvitetty tietojen suojaamista ja asiakirjojen käsittelyä koskevat tietoturvallisuusperiaatteet ja -toimenpiteet.
</t>
  </si>
  <si>
    <t xml:space="preserve">- Henkilölle selvitetään tietojen suojaamista koskevat periaatteet ennen pääsyä tietoihin,
- todisteeksi selvityksen saamisesta henkilö voi allekirjoittaa kirjallisen vaitiolositoumuksen ja allekirjoitus luetteloidaan "vaitiolositoumusluetteloon" tai
- sitoumuksen antamiseen on sähköinen menettely, joka hoidetaan automaattisesti ensimmäisen sisäänkirjautumisen yhteydessä
</t>
  </si>
  <si>
    <t xml:space="preserve">TihL 4 § 2 mom; TLA 6 §, 8 §; JulkL 25 §, 26 § 3 mom
</t>
  </si>
  <si>
    <t xml:space="preserve">ISO/IEC 27002:2022 6.6; PiTuKri HT-03
</t>
  </si>
  <si>
    <t>T-11</t>
  </si>
  <si>
    <t>HAL-12</t>
  </si>
  <si>
    <t>Ohjeet</t>
  </si>
  <si>
    <t xml:space="preserve">Organisaatiossa on ajantasaiset ja kattavat ohjeet tietoturvallisuuden varmistamiseksi.
</t>
  </si>
  <si>
    <t xml:space="preserve">Ohjeistamalla tietoturvallisuuden kannalta keskeiset asiat pyritään varmistumaan siitä, että toiminta ei ole henkilöriippuvaista. 
Organisaatiolla tulisi olla ajantasaiset ohjeet tietojen käsittelystä, tietojärjestelmien käytöstä, tietojenkäsittelyoikeuksista, tiedonhallinnan vastuiden toteuttamisesta, tiedonsaantioikeuksien toteuttamisesta sekä tietoturvallisuustoimenpiteistä. Ohjeet kattavat tietoihin liittyvät prosessit ja käsittely-ympäristöt tietojen koko elinkaaren ajalta.
</t>
  </si>
  <si>
    <t xml:space="preserve">- Tietojen suojaamiseksi ja tietoturvallisuuden varmistamiseksi tarvittavat menettelyt ja ohjeet on dokumentoitu.  
- Turvallisuusohjeistus toteutetaan henkilöstön työtehtävien tarpeet huomioiden.
- Turvallisuusohjeiden kattavuutta ja ajantasaisuutta seurataan säännöllisesti ja se on tarvittavien tahojen saatavilla. 
</t>
  </si>
  <si>
    <t xml:space="preserve">TihL 4 § 2 mom, 13 § 1 mom; TLA 6 § ja 8 § 
</t>
  </si>
  <si>
    <t xml:space="preserve">ISO/IEC 27002:2022 5.37; SFS-EN ISO/IEC 27001:2017 7.5; PiTuKri HT-04; Suositus johdon vastuiden toteuttamisesta tiedonhallinnassa 2020:18, luku 4
</t>
  </si>
  <si>
    <t>TEK-17.2</t>
  </si>
  <si>
    <t>T-04</t>
  </si>
  <si>
    <t>HAL-13</t>
  </si>
  <si>
    <t>Koulutukset</t>
  </si>
  <si>
    <t xml:space="preserve">Organisaatio varmistaa perehdytyksillä, koulutuksilla ja viestinnällä, että henkilöstöllä ja organisaation lukuun toimivilla on tuntemus voimassa olevista tietoturvallisuutta koskevista määräyksistä ja ohjeista.
</t>
  </si>
  <si>
    <t xml:space="preserve">Johdon on huolehdittava siitä, että organisaatiossa on tarjolla koulutusta, jolla varmistetaan, että henkilöstöllä ja organisaation lukuun toimivilla on tuntemus voimassa olevista tietoturvallisuutta, tiedonhallintaa, tietojenkäsittelyä sekä tietojen julkisuutta ja salassapitoa koskevista säädöksistä, määräyksistä ja organisaation ohjeista sekä organisaation vastuulla oleviin tietoihin kohdistuvista riskeistä ja uhista. 
Erityisesti koulutuksissa on huomioitava etäkäyttöön, tietojärjestelmien hallinnointiin sekä muihin korkeamman riskin käsittelytilanteisiin liittyvät uhat ja ohjeet.
</t>
  </si>
  <si>
    <t xml:space="preserve">- Tietoja käsittelevälle henkilölle on selvitetty tietojen suojaamista koskevat turvallisuussäännöt ja -menettelyt. 
- Koulutus toteutetaan henkilöstön työtehtävien tarpeet huomioiden.
- Koulutuksen sisältö dokumentoidaan
- Koulutuksiin osallistuneista pidetään kirjaa
</t>
  </si>
  <si>
    <t xml:space="preserve">TihL 4 § 2 mom; TLA 6 §, 8 § 
</t>
  </si>
  <si>
    <t xml:space="preserve">ISO/IEC 27002:2022 6.3; PiTuKri HT-04; Suositus johdon vastuiden toteuttamisesta tiedonhallinnassa 2020:18, luku 5
</t>
  </si>
  <si>
    <t>T-12</t>
  </si>
  <si>
    <t>HAL-14</t>
  </si>
  <si>
    <t>Käyttö- ja käsittelyoikeudet</t>
  </si>
  <si>
    <t xml:space="preserve">Organisaatio varmistaa, että tietojärjestelmien käyttöoikeudet ja tietojen käsittelyoikeudet määritellään tehtäviin liittyvien tarpeiden mukaan sekä pidetään ajantasaisina.
</t>
  </si>
  <si>
    <t xml:space="preserve">Käyttö- ja käsittelyoikeuksien hallinnan avulla mahdollistetaan tietojen luvallinen käyttö ja estetään niiden luvatonta käyttöä. 
Käyttäjälle annetaan tietojärjestelmiin vain sellaiset käyttöoikeudet ja -valtuudet, jotka ovat työtehtävien kannalta tarpeellisia.
Käsittelyoikeus tietoihin voidaan antaa vain sille, jolla työtehtäviensä vuoksi on tarve saada tietoja tai muutoin käsitellä niitä, jolle on selvitetty tietojen suojaamista koskevat ohjeet ja joka tuntee tietojen käsittelyä koskevat velvoitteet.
</t>
  </si>
  <si>
    <t xml:space="preserve">- Organisaatio on määritellyt periaatteet, joiden mukaan käyttö- ja käsittelyoikeudet myönnetään
- Oikeuksien hyväksymiseen on määritelty vastuut ja menettelyt
- Oikeuksien toteuttamiseen on määritelty vastuut ja menettelyt
- Käyttöoikeuksien myöntäminen on dokumentoitu siten, että se on tarkastettavissa jälkikäteen
</t>
  </si>
  <si>
    <t>TihL 4 § 2 mom ja 16 §; TLA 8 §, 11 § 1 mom 3 k</t>
  </si>
  <si>
    <t xml:space="preserve">ISO/IEC 27002:2022 5.15, 5.18; PiTuKri HT-05; Suosituskokoelma tiettyjen tietoturvallisuussäännösten soveltamisesta 2021:65, luku 13; Suositus turvallisuusluokiteltavien asiakirjojen käsittelystä 2021:5, luku 7.6
</t>
  </si>
  <si>
    <t>T-13, I-6</t>
  </si>
  <si>
    <t>HAL-14.1</t>
  </si>
  <si>
    <t>TL III</t>
  </si>
  <si>
    <t>Käyttö- ja käsittelyoikeudet - ajantasainen luettelo</t>
  </si>
  <si>
    <t xml:space="preserve">Organisaatio varmistaa, että sillä on ajantasaiset luettelot henkilöiden käyttö- ja käsittelyoikeuksista. 
</t>
  </si>
  <si>
    <t xml:space="preserve">Valtionhallinnon viranomaisen on pidettävä luetteloa henkilöistä, joilla on oikeus käsitellä turvallisuusluokan I, II tai III asiakirjoja. Luettelossa on mainittava henkilön tehtävä, johon turvallisuusluokitellun tiedon käsittelytarve perustuu.
</t>
  </si>
  <si>
    <t xml:space="preserve">TLA 8 §
</t>
  </si>
  <si>
    <t>ISO/IEC 27002:2022 5.18; Suositus turvallisuusluokiteltavien asiakirjojen käsittelystä 2021:5 luku 4.1</t>
  </si>
  <si>
    <t>T-13</t>
  </si>
  <si>
    <t>HAL-14.2</t>
  </si>
  <si>
    <t>Käyttö- ja käsittelyoikeudet - päättyminen</t>
  </si>
  <si>
    <t xml:space="preserve">Organisaatio varmistaa, että se, joka ei enää toimi tehtävissä, joihin oikeus tietojen käsittelyyn perustuu, palauttaa tiedot tai tuhoaa ne asianmukaisella tavalla.
</t>
  </si>
  <si>
    <t xml:space="preserve">TihL 13 § 1 mom, 21 § 2 mom; TLA 8 §
</t>
  </si>
  <si>
    <t>HAL-15</t>
  </si>
  <si>
    <t>Työskentelyn tietoturvallisuus koko palvelussuhteen ajan</t>
  </si>
  <si>
    <t xml:space="preserve">Organisaatio huolehtii työskentelyn tietoturvallisuudesta koko palvelussuhteen ajan.
 </t>
  </si>
  <si>
    <t xml:space="preserve">Erityisesti tulee huomioida toimenpiteet rekrytoitaessa, työtehtävien muutoksissa ja palvelussuhteen päättyessä.
Menettelyjä palvelussuhteen alussa ja aikana ovat esimerkiksi henkilöturvallisuusselvitykset, käsittely-, käyttö- ja pääsyoikeudet, ymmärrys salassapito- ja vaitiolovelvollisuudesta, turvallisuuskoulutus sekä muutoksissa näiden mahdollinen päivittäminen ja muutosten kouluttaminen. 
Palvelussuhteen päättymiseen liittyviä menettelyjä ovat esimerkiksi avainten, tunnusten sekä aineistojen ja materiaalien luovutus, sekä käsittely-, käyttö- ja pääsyoikeuksien poistaminen. Palvelussuhteen päättyessä on myös oleellista muistuttaa salassapito- ja vaitiolovelvollisuudesta. 
</t>
  </si>
  <si>
    <t xml:space="preserve">Toimenpiteet edellyttävät tyypillisesti menettelyohjeita, jotka on koulutettu ja saatavilla tarvittavilla henkilöstöryhmillä. Menettelyohjeet voidaan jakaa esimerkiksi palvelussuhteen elinkaaren mukaisiin kokonaisuuksiin.
Ohjekokonaisuuksia voivat olla esimerkiksi rekrytointiohjeet, perehdyttämisohjeet, palvelussuhteen aikaisten muutosten ohjeet, palvelussuhteen päättymisen ohjeet ja ohjeet yksityiskohtaisempiin toimiin kuten esimerkiksi ohjeet käsittely-, käyttö- ja pääsyoikeuksien muutoksiin. 
</t>
  </si>
  <si>
    <t xml:space="preserve">TihL 4 § 2 mom, 12 §, 16 §;
TLA 6 §, 8 §
</t>
  </si>
  <si>
    <t xml:space="preserve">ISO/IEC 27002:2022 6.1, 6.2, 6.3, 6.5; PiTuKri HT-01,Suosituskokoelma tiettyjen tietoturvallisuussäännösten soveltamisesta 2021:65 luku 5; Suositus turvallisuusluokiteltavien asiakirjojen käsittelystä 2021:5
</t>
  </si>
  <si>
    <t>T-09</t>
  </si>
  <si>
    <t>Tietojärjestelmät ja hankinnat</t>
  </si>
  <si>
    <t>HAL-16</t>
  </si>
  <si>
    <t>Hankintojen turvallisuus</t>
  </si>
  <si>
    <t xml:space="preserve">Organisaatio varmistaa jo ennakolta, että hankittavat tietojärjestelmät ja palvelut ovat tietoturvallisia sekä varmistaa niiden turvallisuuden muutostilanteissa koko järjestelmän elinkaaren ajan.
</t>
  </si>
  <si>
    <t xml:space="preserve">Hankinnoissa on varmistettava, että hankittavat tietojärjestelmät ja palvelut täyttävät käsiteltävien tietoaineistojen mukaiset tietoturvallisuusvaatimukset ja että tietojärjestelmät ovat soveltuvia viranomaisen tehtävien hoitamiseksi tuloksekkaasti ja tehokkaasti.
Ennen hankintapäätöstä on suositeltavaa kartoittaa vaihtoehtoja ja karsia vaihtoehdoista jo varhaisessa vaiheessa sellaiset, jotka eivät pysty täyttämään lainsäädännön asettamia vähimmäisvaatimuksia. Eräs menetelmä tällaisen esikarsinnan tekemiseen on palveluntarjoajaehdokkaiden tuottamiin kuvauksiin tutustuminen ja niiden pohjalta hankittavan järjestelmän tai palvelun esiarviointi suhteessa vähimmäisvaatimuksiin.
Eräs yleisesti käytetty menetelmä palveluiden turvallisuuden varmistamiseen on tietojärjestelmien ja niiden palveluntarjoajien arvioinnit, jota on kuvattu yksityiskohtaisemmin suosituksen "Turvallisuusluokiteltavien asiakirjojen käsittely pilvipalveluissa" luvussa 4.
Osa palveluntarjoajista tarjoaa asiakkailleen mahdollisuuden ottaa käyttöönsä uusia toiminnallisuuksia, jotka ovat esikatselu- tai testausvaiheessa. Mikäli tällaisia toiminnallisuuksia halutaan ottaa käyttöön salassa pidettävän tiedon käsittelyyn, suositellaan riskienarvioinnissa huomioitavaksi muun muassa käyttöönottoon liittyvät vastuut. Uusien toiminnallisuuksien toteutuksessa voi vielä olla turvallisuuspuutteita, joista mahdollisesti aiheutuvien vahinkojen korvaaminen on sopimuksissa usein osoitettu asiakkaalle.
</t>
  </si>
  <si>
    <t xml:space="preserve">Organisaatio määrittelee hankinta- ja kehitysprosesseissa tietoturvavaatimukset sekä varmistaa niiden täyttymisen. 
Vaatimusten riittävyyden takaamiseksi organisaatio edellyttää, että tietoturvavaatimukset määritellään, katselmoidaan ja hyväksytään ennen hankinnan etenemistä ja tietoturvatestaus on suoritettu hyväksytysti ennen tietojärjestelmien käyttöönottoja.
Hankittavan palvelun tai järjestelmän tarjoajan/toimittajan tulee pystyä selvittämään vähintään seuraavat:
1) Palvelusta on järjestelmäkuvaus. Palveluntarjoajan kuvauksen perusteella on pystyttävä arvioimaan kyseisen palvelun yleistä soveltuvuutta kyseiseen asiakkaan käyttötapaukseen. Järjestelmäkuvauksesta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
Infrastruktuurin, verkon ja järjestelmäkomponenttien kuvauksen tulee olla riittävän yksityiskohtainen, jotta kuvauksen pohjalta pystytään arvioimaan palvelun yleistä soveltuvuutta ja riskejä suhteessa asiakkaan käyttötapaukseen. Vrt. PiTuKri KT-01 (Järjestelmäkuvaus jatkuvuuden ja käyttöturvallisuuden tukemiseksi). Infrastruktuurin kuvauksessa voidaan tietyin rajauksin hyödyntää myös ohjelmistokoodia, jonka pohjalta kyseinen infrastruktuuri rakennetaan.
</t>
  </si>
  <si>
    <t xml:space="preserve">TihL 13 § 4 mom; TLA:n 6 §; JulkL 26 §
</t>
  </si>
  <si>
    <t xml:space="preserve">ISO/IEC 27002:2022 5.19, 5.20, 5.21, 8.29, 8.30; Suositus johdon vastuiden toteuttamisesta tiedonhallinnassa 2020:18, luku 6; Suosituskokoelma tiettyjen tietoturvallisuussäännösten soveltamisesta 2021:65 luku 8; Suositus turvallisuusluokiteltujen asiakirjojen käsittelystä pilvipalveluissa 2022:4 luku 4; PiTuKri EE-01 ja KT-01
</t>
  </si>
  <si>
    <t>I-13</t>
  </si>
  <si>
    <t>HAL-16.1</t>
  </si>
  <si>
    <t>Hankintojen turvallisuus - sopimukset</t>
  </si>
  <si>
    <t xml:space="preserve">Organisaatio varmistaa, että tietoturvallisuuteen sisältyvät vaatimukset ja niiden säilyminen koko elinkaaren ajan on otettu huomioon sopimuksissa. Sopimusehdot eivät myöskään saa rajoittaa palvelun soveltuvuutta kyseiseen käyttötapaukseen. 
</t>
  </si>
  <si>
    <t xml:space="preserve">Erityisesti pilvipalvelut ovat jatkuvan muutoksen alaisia. Pilvipalveluille ominaista on nopea ja voimakas kehittyminen, mikä edellyttää jatkuvaa sopimusten seurantaa ja valvontaa sekä muutoshallintaa. Muutokset kasvattavat riskiä siitä, että palvelu, sen tarjoaja tai jokin uusi ominaisuus muuttuu sopimuksen- tai vaatimustenvastaiseksi tai toteutuu määräysvaltamuutosriskejä. Myös palveluntuottajan omistajanvaihdokseen sisältyy  riskejä, jotka tulee riittävässä laajuudessa ottaa huomioon sopimuksissa. Lisäksi on huomioitava, että tiedon elinkaaren ajan kestävästä tietoturvallisuudesta voi olla mahdotonta varmistua sellaisten palveluntarjoajien kanssa, jotka varaavat sopimuksiinsa yksipuolisen mahdollisuuden muuttaa sopimusehtojaan. Riskiperustaisesti on myös arvioitava sopimuksen luotettavuutta ja varmistuttava siitä, että tarjoajan sopimuksessa sopimat asiat on myös toteutettu sovitulla tavalla. Erityisesti pilvipalveluihin liittyvissä sopimuksissa tulee määritellä riittävän selkeästi mitkä tehtävät ovat palveluntuottajan vastuulla ja mitkä kuuluvat asiakkaan vastuulle.
Henkilötietojen käsittely voi tietosuojasääntelyn näkökulmasta myös estyä, mikäli palveluntarjoaja ei pysty tarjoamaan tietosuojasääntelyn mukaista sopimusta, jonka muuttaminen ei ole mahdollista yksipuolisesti, toisin sanoen ilman palvelun asiakkaan suostumusta. 
Arvioinnissa tulee huomioida EU:n yleisen tietosuoja-asetuksen 28 artiklan 4. kohdan vaatimukset alikäsittelijöitä käytettäessä. Palveluntarjoajan (rekisterinpitäjän) tulee tehdä henkilötietojen käsittelijän kanssa kirjallinen sopimus.
Palvelujen sopimuksiin ja käyttöehtoihin saattaa liittyä myös erilaisia toimittajakohtaisia tapoja määritellä palvelun tai sen osan fyysisiä sijaintimaita. Henkilötietojen siirtäminen EU-/ETA-alueen ulkopuolelle tulee aina tehdä EU:n yleisessä tietosuoja-asetuksessa (V luku) säädettyjen edellytysten mukaisesti. 
Muun muassa lainsäädäntöjohdannaisten riskien sekä jatkuvuuteen ja varautumiseen liittyen osalta tulee myös huomioida, että palvelun asiakkaan tietojen tulee sijaita  koko elinkaarensa ajan vain sopimuksessa kuvatuissa fyysisissä sijainneissa. Poikkeuksena tilanne, jossa palvelun asiakas on kirjallisesti etukäteen hyväksynyt tietojen siirron tai käsittelyn muissa fyysisissä sijainneissa. Tällaisten tarpeiden täyttäminen ei yleensä ole uskottavasti mahdollista tilanteissa, joissa palveluntarjoaja varaa itselleen mahdollisuuden muuttaa sopimusehtojaan yksipuolisesti, toisin sanoen ilman asiakkaan suostumusta.
On lisäksi huomioitava, että viranomaisen on ennakolta varmistuttava siitä, että tietojen salassapidosta ja suojaamisesta huolehditaan asianmukaisesti (621/1999,  26 §). Viranomaisen on myös ennakolta varmistuttava siitä, että turvallisuusluokitellun asiakirjan suojaamisesta huolehditaan asianmukaisesti, jos se antaa turvallisuusluokitellun asiakirjan muulle kuin valtionhallinnon viranomaiselle (TLA:n 6 §).
</t>
  </si>
  <si>
    <t xml:space="preserve">TihL 13 §; TLA:n 6 §; JulkL 26 §; Tietosuoja-asetus artikla 28.4 
</t>
  </si>
  <si>
    <t xml:space="preserve">ISO/IEC 27002:2022 5.20; Suositus johdon vastuiden toteuttamisesta tiedonhallinnassa 2020:18, luku 6; PiTuKri TJ-07; 
</t>
  </si>
  <si>
    <t>HAL-17</t>
  </si>
  <si>
    <t>Tietojärjestelmien toiminnallinen käytettävyys ja vikasietoisuus</t>
  </si>
  <si>
    <t xml:space="preserve">Organisaatio varmistaa tehtävien hoitamisen kannalta olennaisten tietojärjestelmien vikasietoisuuden ja toiminnallisen käytettävyyden riittävällä testauksella säännöllisesti.
</t>
  </si>
  <si>
    <t xml:space="preserve">Olennaisilla tietojärjestelmillä tarkoitetaan sellaisia tietojärjestelmiä, jotka ovat kriittisiä viranomaisen lakisääteisten tehtäviä toteuttamisen kannalta erityisesti hallinnon asiakkaille palveluja tuotettaessa. 
Toiminnallisella käytettävyydellä tarkoitetaan tietojärjestelmän käyttäjän kannalta sen varmistamista, että tietojärjestelmä on helposti opittava ja käytössä sen toimintalogiikka on helposti muistettava, sen toiminta tukee niitä työtehtäviä, joita käyttäjän pitää tehdä tietojärjestelmällä ja tietojärjestelmä edistää sen käytön virheettömyyttä.
</t>
  </si>
  <si>
    <t xml:space="preserve">- Organisaatio tunnistaa ja luetteloi tehtävien hoitamisen kannalta olennaiset tietojärjestelmät esimerkiksi osana suojattavien kohteiden luettelointia ja tiedon luokittelua.
- Organisaatio määrittelee olennaisten tietojärjestelmien saatavuuskriteerit, joita vasten vikasietoisuus voidaan testata. Järjestelmäkohtaisten saatavuuskriteerien määrittelyssä voidaan hyödyntää tietojärjestelmien saatavuusluokittelua.
- Organisaatio määrittelee toiminnallisen käytettävyyden kriteerit.
- Organisaation hankintaprosesseissa ja hankintaohjeissa on huomioitu toiminnalliseen käytettävyyteen ja vikasietoisuuteen liittyvät vaatimukset.
- Organisaatio dokumentoi vikasietoisuuden testaukset.
</t>
  </si>
  <si>
    <t xml:space="preserve">TihL 13 § 2 mom
</t>
  </si>
  <si>
    <t xml:space="preserve">ISO/IEC 27002:2022 8.29, Suosituskokoelma tiettyjen tietoturvallisuussäännösten soveltamisesta 2021:65 luku 7
</t>
  </si>
  <si>
    <t>HAL-17.1</t>
  </si>
  <si>
    <t>Tietojärjestelmien toiminnallinen käytettävyys ja vikasietoisuus - saavutettavuus</t>
  </si>
  <si>
    <t xml:space="preserve">Organisaation on varmistettava digitaalisten palveluiden saavutettavuus lainsäädännön edellyttämässä laajuudessa.
</t>
  </si>
  <si>
    <t xml:space="preserve">Saavutettavuus tarkoittaa sitä, että mahdollisimman moni erilainen ihminen voi käyttää verkkosivuja ja mobiilisovelluksia mahdollisimman helposti. Saavutettavuus on ihmisten erilaisuuden ja moninaisuuden huomiointia verkkosivujen ja mobiilisovelluksien suunnittelussa ja toteutuksessa. Saavutettavan digipalvelun suunnittelussa ja toteutuksessa pitää huomioida kolme osa-aluetta: tekninen toteutus, helppokäyttöisyys ja sisältöjen selkeys ja ymmärrettävyys.
Koska saavutettavuus ei kuulu tiedonhallintalautakunnan toimivallan piiriin, on saavutettavuus mukana Julkri-kriteeristössä ainoastaan ylätason varmistuskriteerinä. Julkri-kriteeristöä ei siten käytetä saavutettavuuden arviointiin, mutta kriteeri on mukana muistuttamassa organisaatioita siitä, että myös saavutettavuuteen liittyvät asiat tulee varmistaa osana digitaalisten palveluiden suunnittelua ja toteutusta. Yksityiskohtaisemmat ohjeet ja vaatimukset löytyvät Etelä-Suomen Aluehallintoviraston ylläpitämältä www.saavutettavuusvaatimukset.fi -sivustolta.
</t>
  </si>
  <si>
    <t xml:space="preserve">Laki digitaalisten palvelujen tarjoamisesta (306/2019)
</t>
  </si>
  <si>
    <t xml:space="preserve">www.saavutettavuusvaatimukset.fi
</t>
  </si>
  <si>
    <t>HAL-18</t>
  </si>
  <si>
    <t>Asiakirjajulkisuuden toteuttaminen</t>
  </si>
  <si>
    <t xml:space="preserve">Organisaatio varmistaa, että tietojärjestelmät, tietovarantojen tietorakenteet ja niihin liittyvän tietojenkäsittely suunnitellaan siten, että asiakirjojen julkisuus voidaan vaivatta toteuttaa.
</t>
  </si>
  <si>
    <t xml:space="preserve">Vaatimus kohdistuu viranomaisiin, jotka käytännössä vastaavat tietoaineistoissa olevien tietojen saatavuudesta. Vaatimus korostaa sitä, että viranomaisen tietojärjestelmissä olevista tiedoista on pystyttävä muodostamaan tietojärjestelmässä olevilla hakutoiminnoilla viranomaisen asiakirjoja viranomaisen toiminnan julkisuuden toteuttamiseksi.
</t>
  </si>
  <si>
    <t xml:space="preserve">- Organisaatiot määrittelevät vastuullaan oleviin tietoaineistoihin kohdistuvat tiedonsaantitarpeet ottaen huomioon erityisesti viranomaisten tietojen julkisuuteen kohdistuvat vaatimukset.
- Organisaatiot huomioivat toteutus- ja hankintaprosesseissa vaatimukset asiakirjajulkisuuden vaivattomasta toteuttamisesta.
- Organisaatio seuraa asiakirjajulkisuuden toteuttamiseen liittyviä tarpeita ja ylläpitää vanhoja tietojärjestelmiä tarpeen mukaan.
</t>
  </si>
  <si>
    <t xml:space="preserve">TihL 13 § 3 mom
</t>
  </si>
  <si>
    <t>Käyttöturvallisuus</t>
  </si>
  <si>
    <t>HAL-19</t>
  </si>
  <si>
    <t xml:space="preserve">Tietojen käsittely </t>
  </si>
  <si>
    <t xml:space="preserve">Organisaatio varmistaa, että tietoja käsitellään ja säilytetään siten, että pääsy tietoihin suojataan sivullisilta.
</t>
  </si>
  <si>
    <t xml:space="preserve">Tietojen käsittelyn ja säilytyksen tietoturvallisuuteen vaikuttavat muun muassa fyysisten tilojen turvallisuus, tietojen käsittelyssä käytettävien tietojärjestelmien ja päätelaitteiden turvallisuus sekä tietoja käsittelevien henkilöiden ohjeet ja koulutus.
Organisaation turvallisuuden hallinnan prosessien avulla tulee varmistaa, että tarvittavat toimenpiteet kaikkien edellä lueteltujen osa-alueiden suhteen on tehty.
Yksityiskohtaisempia kriteerit eri turvallisuustasoille luokiteltujen tietojen käsittelemisestä ja säilyttämisestä on esitetty fyysisen turvallisuuden ja teknisen turvallisuuden osa-alueilla.
</t>
  </si>
  <si>
    <t xml:space="preserve">Organisaatio on varmistanut tietojen käsittelyn turvallisuuden esimerkiksi seuraavilla toimenpiteillä:
- Organisaatio on varmistanut, että tietojen käsittelyyn ja säilytykseen tarkoitetut tilat täyttävät niissä käsiteltävien tai säilytettävien tietojen ja tietojärjestelmien asettamat vaatimukset sekä määritellyt tarvittavat hallinnolliset alueet ja turva-alueet.
- Organisaatio on ohjeistanut missä tiloissa eri turvallisuustasoille luokiteltuja tietoja saa käsitellä ja säilyttää.
- Organisaatio on ohjeistanut, miten tietoihin pääsy tulee suojata sivullisilta eri käsittely-ympäristöissä
- Organisaatio on määritellyt miten eri tietojen käsittelyyn tarkoitetut tietojärjestelmät tulee säilyttää
- Organisaatio on määritellyt tietojen käsittelyssä käytettävien päätelaitteiden vaatimukset.
</t>
  </si>
  <si>
    <t xml:space="preserve">TihL 13 §, 15 § 2 mom; TLA 10 § 1 mom
</t>
  </si>
  <si>
    <t xml:space="preserve">ISO/IEC 27002:2022 5.15; Suosituskokoelma tiettyjen tietoturvallisuussäännösten soveltamisesta 2021:65 luku 4; 
</t>
  </si>
  <si>
    <t>FYY-03, FYY-04, TEK-09</t>
  </si>
  <si>
    <t>I-17</t>
  </si>
  <si>
    <t>Yleiset vaatimukset</t>
  </si>
  <si>
    <t>FYY-01</t>
  </si>
  <si>
    <t>Katakri</t>
  </si>
  <si>
    <t>Kesken</t>
  </si>
  <si>
    <t>Fyysisen turvallisuuden riskien arviointi</t>
  </si>
  <si>
    <t xml:space="preserve">Fyysiset turvatoimet on mitoitettava riskien arvioinnin mukaisesti. 
</t>
  </si>
  <si>
    <t xml:space="preserve">Riskien arvioinnissa tulee ottaa huomioon esimerkiksi pääsyoikeuksien hallintaan ja muihin turvallisuusjärjestelyihin liittyviin prosesseihin sisällytettävät tiedonsaantitarpeen, tehtävien eriyttämisen ja vähimpien oikeuksien periaatteet. Fyysisiä turvatoimia koskevan riskien arvioinnin tulee olla säännöllistä ja osa organisaation riskienhallinnan kokonaisuutta. Arvioiduilla riskeillä on nimetyt omistajat. Hyväksyttyjen fyysisten turvatoimien muutoksiin liittyvät riskit tulee arvioida muutosten yhteydessä. Erityisesti korvaavien fyysisten turvatoimien osalta tulee pystyä osoittamaan perustelut valituille turvatoimille.
</t>
  </si>
  <si>
    <t xml:space="preserve">Riskien arvioinnissa on otettava huomioon kaikki asiaan kuuluvat tekijät, erityisesti
seuraavat:
a) Tietojen turvallisuusluokka ja salassapitoperuste;
b) Tietojen käsittely- ja säilytystapa sekä määrä ottaen huomioon, että tietojen suuri määrä tai kokoaminen yhteen voi edellyttää tiukempien riskienhallintatoimenpiteiden soveltamista;
c) Tietojen käsittely- ja säilytysaika
d) Tietojen käsittely- ja säilytyspaikan ympäristö: rakennuksen ympäristö, sijoittuminen rakennuksessa, tilassa tai sen osassa;
e) Hälytystilanteisiin liittyvä vasteaika
f) Ulkoistetut toiminnot, kuten huolto-, siivous-, kiinteistö- ja turvallisuuspalvelut
g) Tiedustelupalvelujen, rikollisen toiminnan ja oman henkilöstön muodostama arvioitu uhka tiedoille
</t>
  </si>
  <si>
    <t xml:space="preserve">TihL 13 § 1 mom, 15 § 2 mom
</t>
  </si>
  <si>
    <t xml:space="preserve">Suositus turvallisuusluokiteltavien asiakirjojen käsittelystä 2021:5 sivu 36
</t>
  </si>
  <si>
    <t>F-02</t>
  </si>
  <si>
    <t>FYY-01.1</t>
  </si>
  <si>
    <t>Fyysisen turvallisuuden riskien arviointi - TEMPEST</t>
  </si>
  <si>
    <t xml:space="preserve">Arvioitaessa tiedon käsittelyä päätelaitteessa ja turvallisuusalueiden sijaintia on riittävässä määrin otettava huomioon myös TEMPEST-riski.
</t>
  </si>
  <si>
    <t xml:space="preserve">Arvioitaessa tiedon käsittelyä päätelaitteessa ja turvallisuusalueiden sijaintia on riittävässä määrin otettava huomioon myös TEMPEST-riski, eli sähkömagneettisen hajasäteilyn aiheuttama riski. TEMPEST-riskiä voidaan yleensä pienentää muuttamalla tiedon käsittelypaikan sijaintia kiinteistössä.
</t>
  </si>
  <si>
    <t>TLA 11 § 2 mom</t>
  </si>
  <si>
    <t>TEK-15</t>
  </si>
  <si>
    <t>F-05.8, F-06.10</t>
  </si>
  <si>
    <t>FYY-02</t>
  </si>
  <si>
    <t>Fyysisten turvatoimien valinta (monitasoinen suojaus)</t>
  </si>
  <si>
    <t xml:space="preserve">Turvallisuusalueilla ja niitä ympäröivissä tiloissa on toteutettava turvallisuusalueen suojausta vaarantavia tekoja ennaltaehkäiseviä, estäviä ja rajaavia toimenpiteitä, toimenpiteitä suojausta vaarantavien tekojen havaitsemiseksi ja jäljittämiseksi sekä toimenpiteitä vaarantanutta tekoa edeltäneen turvallisuustason palauttamiseksi viipymättä monitasoista suojausperiaatetta soveltaen.
Laitteet on tarkastettava ja huollettava säännöllisin väliajoin.
</t>
  </si>
  <si>
    <t xml:space="preserve">Salassa pidettäviä tietoja ja asiakirjoja sisältävät tietovarannot sekä niiden käsittelyyn käytetyt tietojärjestelmät on sijoitettava viranomaisen tähän tarkoitukseen määrittelemälle suojatulle-alueelle, jollainen on esimerkiksi turvallisuusluokitteluasetuksessa kuvattu hallinnollinen alue tai tieto pitää suojata riskiperusteisesti muilla turvakontrolleilla.
Suosituksena on, että monitasoisen suojauksen kokonaisuuteen sisältyvät laitteet ja järjestelmät ovat eurooppalaisten standardien ja niiden vähimmäisvaatimusten mukaisia. Oikean standardiluokan valinta perustuu aina riskiarvioon. Yksittäisten vaatimusten yhteyteen lisätyssä Tavoitetaso-sarakkeessa on esitetty useimpiin monitasoisen suojauksen ratkaisuihin riittävä standardin mukainen luokka tai ohje. 
Yksittäisten turvatoimien hyväksymisen edellytyksenä ei kuitenkaan ole tavoitetason täyttyminen, koska fyysisten turvatoimien arviointi perustuu riskien arviointiin ja monitasoiseen suojauksen kokonaisuuteen. Joissakin tilanteissa voidaan riskien arviointiin perustuen edellyttää myös yksittäisiä tavoitetasoa korkeamman tason turvatoimia.  
Arvioitaessa laitteita ja järjestelmiä on varmistettava, että ne ovat toimintakuntoisia ja soveltuvia niiden käyttötarkoitukseen. Laitteiden ja järjestelmien vastaanottotarkastuksista, käytön aikaisista tarkastuksista ja tehdyistä huolloista tulisi olla nähtävissä dokumentaatio. Järjestelmäoikeuksia arvioitaessa tulisi kiinnittää huomiota erityisesti vähimpien oikeuksien periaatteen sekä tehtävien eriyttämisen toteutumiseen.
Laitteiden ja järjestelmien sijoitustilan tulisi sijaita niiden suojaamalla turvallisuusalueella. Laitteiden ja järjestelmien ja niiden sijoitustilojen asennus-, tarkastus-, huolto- ja siivoustoimet toteutetaan vain alueelle itsenäisen pääsyoikeuden saaneen henkilön toimesta tai valvonnassa.
Laitteiden ja järjestelmien etäyhteydet ja laiteasennukset tulee toteuttaa riskienarvioinnin perusteella riittävän tietoturvallisesti siten, että laitteisiin ja järjestelmiin pääsy on vain valtuutetuista päätelaitteista ja verkoista ja että tietoliikenneyhteyksien ja laitteiden ja järjestelmien rajapinnat on suojattu siten, että ulkopuolisilla ei ole pääsyä välitettyihin tietoihin.
Salassa pidettävien tietojen käsittely on mahdollista myös yhteisissä työympäristöissä, joissa voi työskennellä useita eri organisaatioita. Tällöin fyysisen turvallisuuden tasosta sovitaan tarvittaessa etukäteen, jotta tilat mahdollistavat salassa pidettävän tiedon asianmukaisen käsittelyn ja säilyttämisen jokaisen organisaation tarpeet huomioiden. Olennaista näissä tapauksissa on tiedon käsittelijän vastuu käsitellä tietoja niin, ettei tietoon oikeudeton saa haltuunsa tietoja.
</t>
  </si>
  <si>
    <t xml:space="preserve">Monitasoinen suojaus muodostuu hallinnollisista, toiminnallisista ja fyysisistä keinoista, kuten:
a) rakenteelliset esteet: fyysinen este, jolla turvallisuusalueet ja sitä ympäröivät tilat rajataan ja luvatonta tunkeutumista vaikeutetaan ja hidastetaan;
b) kulunvalvonta: kulunvalvonnalla rajataan pääsyä turvallisuusalueille ja sitä ympäröiviin tiloihin. Tavoitteena havaita luvattomat pääsy-yritykset, estää asiattomien
henkilöiden pääsy ja valvoa alueella liikkuvia. Kulunvalvonta voi kohdistua alueeseen, alueen yhteen tai useampaan rakennukseen tai rakennuksen alueisiin
tai huoneisiin. Valvonnassa voidaan hyödyntää mekaanisia, sähköisiä tai sähkömekaanisia teknisiä järjestelmiä tai muunlaisia fyysisiä keinoja. Myös vartiointihenkilöstö, vastaanottovirkailija tai oma henkilöstö voi osallistua valvontaan.
c) tunkeutumisen ilmaisujärjestelmä: rakenteellisen esteen tarjoaman turvallisuustason parantamiseksi voidaan käyttää tunkeutumisen ilmaisujärjestelmää
(murtohälytysjärjestelmä). Järjestelmää voidaan käyttää myös vartiointihenkilöstön tekemän valvonnan asemasta tai tueksi.
d) vartiointihenkilöstö: koulutettua, valvottua, varustettua ja tarvittaessa asianmukaisesti turvallisuusselvitettyä vartiointihenkilöstöä voidaan käyttää muun muassa
kulunvalvonnan tukena sekä turvallisuusalueelle tai sitä ympäröivien tilojen tunkeutumista suunnittelevien henkilöiden aikeiden havaitsemisessa ja toimien
estämisessä.
e) kameravalvonta: kameravalvontaa voidaan käyttää turvallisuusalueella tai sen ympärillä erityisesti laittoman tiedustelun ennalta ehkäisemisessä sekä ilmenevien
poikkeamien ennalta ehkäisemisessä, hälytysten todentamisessa ja tapahtuneiden poikkeamien selvittämisessä. Vartiointihenkilöstö voi käyttää kameravalvontaa reaaliaikaisena, aktiivisena kuvan tarkkailuna tai jälkikäteen passiivisena kuvamateriaalin analysointina.
f) turvallisuutta ylläpitävät menettelyt: vastuiden ja tehtävien määrittäminen, erilaiset prosessit ja toimintamallit, kuten pääsyoikeuksien ja avainten hallinta,
henkilöstön ohjeistus ja perehdyttäminen sekä järjestelmien huolto- ja ylläpitotoimet.
g) valaistus: mahdollinen tunkeutuja voidaan havaita valaistuksen avulla ja vartiointihenkilöstö voi valvoa aluetta tehokkaasti, joko suoraan tai kameravalvontajärjestelmää hyödyntämällä.
h) muut asianmukaiset fyysiset toimenpiteet, joiden tarkoituksena on estää ja havaita luvaton pääsy tai ehkäistä turvallisuusluokiteltujen tietojen katoaminen tai
vahingoittuminen.
</t>
  </si>
  <si>
    <t xml:space="preserve">TihL 13 § 1 mom, 15 § 2 mom;
TLA 7 § 
</t>
  </si>
  <si>
    <t xml:space="preserve">Suositus turvallisuusluokiteltavien asiakirjojen käsittelystä 2021:5 sivu 33; ISO/IEC 27002:2022 7.1, 7.2, 7.3
</t>
  </si>
  <si>
    <t>F-03</t>
  </si>
  <si>
    <t>FYY-03</t>
  </si>
  <si>
    <t xml:space="preserve">Tiedon käsittely 
</t>
  </si>
  <si>
    <t xml:space="preserve">Tietoja on käsiteltävä siten, että pääsy niihin suojataan sivullisilta.
</t>
  </si>
  <si>
    <t xml:space="preserve">Estämisellä tarkoitetaan tiedon suojaamista sekä henkilöiltä, joilla ei ole tiedonsaantitarvetta (need-to-know) kyseiseen tietoon että laittomalta tiedustelulta. Suojaaminen tarkoittaa käytännössä esimerkiksi suoran näkö- tai kuuloyhteyden estämistä turvallisuusluokiteltuun tietoon.
Turvallisuusluokiteltujen tietojen käsittely turvallisuusalueilla (hallinnollinen alue tai turva-alue) on pääsääntö, mutta on tilanteita – kuten etätyö tai työtehtävät turvallisuusalueiden ulkopuolella – jolloin tietoa joudutaan käsittelemään myös määritettyjen turvallisuusalueiden ulkopuolella. 
Tietoja voi käsitellä sekä paperimuodossa että vaatimukset täyttävässä päätelaitteessa turva-alueilla, hallinnollisilla alueilla tai niiden ulkopuolella edellyttäen, että pääsy tietoihin on suojattu sivullisilta. Käsittely on sallittua aina TL II -luokkaan asti  kuitenkin siten, että turvallisuusluokan II tai III asiakirjoja sisältävät tietovarannot ja näiden asiakirjojen käsittelyyn käytetyt tietojärjestelmät on sijoitettava turva-alueelle.
</t>
  </si>
  <si>
    <t>TihL 13 § 1 mom, 15 § 2 mom; TLA 10 §</t>
  </si>
  <si>
    <t xml:space="preserve">Suositus turvallisuusluokiteltavien asiakirjojen käsittelystä 2021:5 sivu 29
</t>
  </si>
  <si>
    <t>F-04</t>
  </si>
  <si>
    <t>FYY-03.1</t>
  </si>
  <si>
    <t>TL I</t>
  </si>
  <si>
    <t xml:space="preserve">Tiedon käsittely - TL I 
</t>
  </si>
  <si>
    <t xml:space="preserve">Turvallisuusluokan I asiakirjaa saa käsitellä ainoastaan turva-alueella.
</t>
  </si>
  <si>
    <t xml:space="preserve">TLA 10 § 2 mom
</t>
  </si>
  <si>
    <t>FYY-04</t>
  </si>
  <si>
    <t xml:space="preserve">Tiedon säilytys 
</t>
  </si>
  <si>
    <t>Tietoja on säilytettävä siten, että pääsy niihin suojataan sivullisilta.</t>
  </si>
  <si>
    <t xml:space="preserve">Suojaaminen tarkoittaa käytännössä esimerkiksi tiedon tai tietoa sisältävän päätelaitteen riittävän turvallista säilyttämistä. Tietojen käsittelyssä on huomioitava lisäksi toiminta työskentelytaukojen aikana, jolloin asiakirjat ja päätelaitteet on turvallisuusluokan perusteella sijoitettava soveltuvalle turvallisuusalueelle ja/tai säilytysyksikköön tauon ajaksi. Tiedon säilytyksellä viitataan tilanteeseen, jossa tieto ei ole sen käsittelijän välittömässä valvonnassa.
</t>
  </si>
  <si>
    <t xml:space="preserve">TihL 13 § 1 mom, 15 § 2 mom; TLA 10 § 
</t>
  </si>
  <si>
    <t xml:space="preserve">Suositus turvallisuusluokiteltavien asiakirjojen käsittelystä 2021:5 sivu 28- 29
</t>
  </si>
  <si>
    <t>FYY-04.1</t>
  </si>
  <si>
    <t>TL IV</t>
  </si>
  <si>
    <t xml:space="preserve">Tiedon säilytys - TL IV
</t>
  </si>
  <si>
    <t xml:space="preserve">Organisaatio säilyttää paperiasiakirjat ja muut ei sähköisessä muodossa olevat tiedot
- turva-alueella tai hallinnollisella alueella soveltuvaksi arvioidussa toimistokalusteessa tai
- tilapäisesti turvallisuusalueiden ulkopuolella jos tiedon käsittelijä on sitoutunut noudattamaan annetuissa turvallisuusohjeissa määrättyjä korvaavia toimenpiteitä.
Organisaatio säilyttää sähköisessä muodossa olevat tiedot 
- turva-alueella tai hallinnollisella alueella vaatimukset täyttävässä laitteessa tai sähköisessä tietovälineessä tai 
- turvallisuusalueiden ulkopuolella vaatimukset täyttävässä päätelaitteessa  tai sähköisessä tietovälineessä valvotussa tilassa tai soveltuvassa lukitussa toimistokalusteessa turvapussissa tai vastaavalla tavalla.
</t>
  </si>
  <si>
    <t xml:space="preserve">Mikäli alueella ei ole tiedon säilytykseen riittäväksi arvioitua säilytysratkaisua, tulisi alueen seinien, lattian, katon, ikkunoiden ja ovien täytettävä vähintään standardin SFS-EN-1627 luokkaa RC3 vastaava suoja.
Mikäli turvallisuusluokitellun tiedon säilytysyksikkönä käytetään lukittua toimistokalustetta, on varmistuttava siitä, että tunkeutumisesta jää murtojälki.
</t>
  </si>
  <si>
    <t>TLA 10 §</t>
  </si>
  <si>
    <t>FYY-04.2</t>
  </si>
  <si>
    <t xml:space="preserve">Tiedon säilytys - Tietovarannot ja tietojärjestelmät - TL IV
</t>
  </si>
  <si>
    <t xml:space="preserve">Turvallisuusluokan IV asiakirjoja sisältävät tietovarannot ja näiden asiakirjojen käsittelyyn käytetyt tietojärjestelmät on sijoitettava turvallisuusalueelle (hallinnollinen alue tai turva-alue).
</t>
  </si>
  <si>
    <t xml:space="preserve">TLA 10 § 3 mom 3 kohta
</t>
  </si>
  <si>
    <t>FYY-04.3</t>
  </si>
  <si>
    <t xml:space="preserve">Tiedon säilytys - Tietovarannot ja tietojärjestelmät - TL III 
</t>
  </si>
  <si>
    <t xml:space="preserve">Turvallisuusluokan II tai III asiakirjoja sisältävät tietovarannot ja näiden asiakirjojen käsittelyyn käytetyt tietojärjestelmät on sijoitettava turva-alueelle.
</t>
  </si>
  <si>
    <t xml:space="preserve">TLA 10 § 3 mom 2 kohta
</t>
  </si>
  <si>
    <t>FYY-04.4</t>
  </si>
  <si>
    <t xml:space="preserve">Tiedon säilytys - TL III
</t>
  </si>
  <si>
    <t xml:space="preserve">Organisaatio säilyttää paperiasiakirjat ja muut ei sähköisessä muodossa olevat tiedot turva-alueella soveltuvaksi arvioidussa säilytysratkaisussa.
Organisaatio säilyttää sähköisessä muodossa olevat tiedot 
- turva-alueella vaatimukset täyttävässä laitteessa tai  sähköisessä tietovälineessä tai
- turva-alueiden ulkopuolella vaatimukset täyttävässä päätelaitteessa valvotussa tilassa tai soveltuvassa lukitussa toimistokalusteessa turvapussissa tai vastaavalla tavalla.
</t>
  </si>
  <si>
    <t>FYY-04.5</t>
  </si>
  <si>
    <t>TL II</t>
  </si>
  <si>
    <t xml:space="preserve">Tiedon säilytys - TL II
</t>
  </si>
  <si>
    <t xml:space="preserve">Organisaatio säilyttää paperiasiakirjat ja muut ei sähköisessä muodossa olevat tiedot turva-alueella soveltuvaksi arvioidussa säilytysratkaisussa.
Organisaatio säilyttää sähköisessä muodossa olevat tiedot turva-alueella vaatimukset täyttävässä laitteessa tai sähköisessä tietovälineessä.
</t>
  </si>
  <si>
    <t>FYY-04.6</t>
  </si>
  <si>
    <t xml:space="preserve">Tiedon säilytys - TL I
</t>
  </si>
  <si>
    <t xml:space="preserve">Turvallisuusluokan I asiakirjaa saa säilyttää ainoastaan turva-alueella.
</t>
  </si>
  <si>
    <t>TLA 10 § 2 mom</t>
  </si>
  <si>
    <t>Yhteiset vaatimukset turvallisuusalueille</t>
  </si>
  <si>
    <t>FYY-05</t>
  </si>
  <si>
    <t>Turvallisuusalue</t>
  </si>
  <si>
    <t xml:space="preserve">Turvallisuusalueiden eli hallinnollisten alueiden sekä turva-alueiden on noudatettava tässä kriteerissä annettuja suosituksia.
</t>
  </si>
  <si>
    <t>Monet fyysisen turvallisuuden suositukset ovat yhteisiä sekä hallinnollisille alueille että turva-alueille. Tähän kriteeriin on koottu yhteiset suositukset, jotka tulee ottaa huomioon sekä hallinnollisten alueiden että turva-alueiden arvioinneissa.</t>
  </si>
  <si>
    <t>TihL 13 § 1 mom, 15 § 2 mom; TLA 9 §</t>
  </si>
  <si>
    <t xml:space="preserve">Suositus turvallisuusluokiteltavien asiakirjojen käsittelystä 2021:5 sivu 39
</t>
  </si>
  <si>
    <t>F-05.4, F-06.6</t>
  </si>
  <si>
    <t>FYY-05.1</t>
  </si>
  <si>
    <t>Turvallisuusalue - Äänieristys</t>
  </si>
  <si>
    <t xml:space="preserve">Alueen äänieristyksen tulee estää asiaan kuulumattomia henkilöitä kuulemasta selväsanaisena suojattavaan tietoon liittyviä keskusteluja. Äänieristys tulee ottaa huomioon myös alueen sisällä, mikäli siellä keskustellaan suojattavista tiedoista, joihin kaikilla ei ole tiedonsaantitarvetta.
</t>
  </si>
  <si>
    <t xml:space="preserve">Estämisellä tarkoitetaan tiedon suojaamista sekä henkilöiltä, joilla ei ole tiedonsaantitarvetta kyseiseen keskusteltavaan tietoon, että laittomalta tiedustelulta. Äänieristysvaatimus kohdistuu ainoastaan alueen niihin tiloihin, joissa keskustellaan suojattavista tiedoista. 
Äänieristystä voidaan arvioida esimerkiksi kuuntelemalla keskustelua tilan ulkopuolelta ovien, seinien sekä ilmastointiputkien ja muiden läpivientien kohdalta. Tilan äänieristystä voidaan myös tarvittaessa verrata rakenteille annettavaan ilmaääneneristävyysvaatimukseen. 
</t>
  </si>
  <si>
    <t xml:space="preserve">Vaatimus voidaan määrittää standardin SFS-EN-ISO 717-1 mukaisesti. Ilmaääneneristävyys voidaan todeta standardin SFS-EN-ISO 16283-1 mukaisesti tehdyllä mittauksella. Arvioinnissa tulee huomioida ilmanääneneristävyyden lisäksi myös runkoääneneristävyys. 
Äänieristysvaatimus voidaan tarvittaessa saavuttaa esimerkiksi tilan uudelleen sijoittelulla, rakenteiden ja läpivientien eristävyyden parantamisella tai arvioitavan tilan ulkopuolisten tilojen taustamelulla.
</t>
  </si>
  <si>
    <t>TihL 13 § 1 mom, 15 § 2 mom; TLA 10 § 1 mom</t>
  </si>
  <si>
    <t>FYY-05.2</t>
  </si>
  <si>
    <t>Turvallisuusalue - Salaa katselun estäminen</t>
  </si>
  <si>
    <t xml:space="preserve">Jos tietoihin kohdistuu salaa tai vahingossa  katselun riski, on riskin torjumiseksi tehtävä asianmukaiset toimenpiteet.
</t>
  </si>
  <si>
    <t xml:space="preserve">Salaa katselun riskiä voidaan pienentää esimerkiksi työpisteiden sijoittelun ja näkösuojasermien avulla sekä käyttämällä sälekaihtimia, verhoja tai tietokoneen näytön suojia.
</t>
  </si>
  <si>
    <t xml:space="preserve">Suositus turvallisuusluokiteltavien asiakirjojen käsittelystä 2021:5 sivut 40 ja 45
</t>
  </si>
  <si>
    <t>F-05.6, F-06.8</t>
  </si>
  <si>
    <t>FYY-05.3</t>
  </si>
  <si>
    <t>Turvallisuusalue - Tila- ja laitetarkastukset</t>
  </si>
  <si>
    <t xml:space="preserve">Organisaation on tarkastettava kaikki elektroniset laitteet, ennen kuin niitä käytetään sellaisella alueella, jossa käsitellään turvallisuusluokan II tietoja, mikäli tietoihin kohdistuva uhka arvioidaan korkeaksi.
Myös alue on tarkastettava fyysisesti tai teknisesti säännöllisin väliajoin sekä mahdollisen luvattoman sisäänpääsyn tai sen epäilyn johdosta.
</t>
  </si>
  <si>
    <t xml:space="preserve">Mikäli kyseisten elektronisten laitteiden tarkastaminen ei ole mahdollista luotettavasti (esim. matkapuhelimet, älykellot, jne.), laitteet tulee jättää tilan ulkopuolelle esimerkiksi tähän tarkoitukseen varattuun säilytysratkaisuun.
</t>
  </si>
  <si>
    <t>TLA 7 §, 10 § 1 mom, 11 § 2 mom</t>
  </si>
  <si>
    <t xml:space="preserve">Suositus turvallisuusluokiteltavien asiakirjojen käsittelystä 2021:5 sivut 40 ja 46
</t>
  </si>
  <si>
    <t>F-05.7, F-06.9</t>
  </si>
  <si>
    <t>FYY-05.4</t>
  </si>
  <si>
    <t>Turvallisuusalue - Pääsyoikeuksien ja avaintenhallinnan menettelyt</t>
  </si>
  <si>
    <t xml:space="preserve">Organisaation on määriteltävä alueen pääsyoikeuksien ja avainhallinnan menettelyt ja roolit.
</t>
  </si>
  <si>
    <t xml:space="preserve">Pääsyn rajaaminen alueelle voidaan toteuttaa joko mekaanisesti, elektronisesti tai henkilökohtaiseen tunnistamiseen perustuen. Alueelle tulee nimetä vastuuhenkilö, joka huolehtii pääsyoikeuksien ja avainhallinnan menettelyistä.
Alueen vara-avaimia säilytetään turvallisesti ja suljettuna sinetöityyn, sulkemispäiväyksellä ja kuittauksella varustettuun säilytyskuoreen tai vaihtoehtoisesti  kulunvalvontaan liitetyssä avainkaapissa. Avaimet luovutetaan työtehtävään liittyen ja kuittausta vastaan. Menettely on kuvattu turvallisuuden hallintaohjeissa. Alueelle ei saa päästä alemman luokan tilaan sopivalla yleisavaimella.
Suosituksena on, että monitasoisen suojauksen kokonaisuuteen sisältyvät laitteet ja järjestelmät ovat eurooppalaisten standardien ja niiden vähimmäisvaatimusten mukaisia. Standardeja, joita voidaan käyttää referenssinä arvioitaessa soveltuvaa ratkaisua: Lukot heloineen: SFS 7020+5970, luokat 1-4, tavoitetaso 3; Elektroniset kulunvalvontajärjestelmät: SFS-EN 60839-11-1 ja 2, Huomioitava esimerkiksi SFS-EN 50131-standardin vaatimukset, mikäli kulunvalvontajärjestelmä on osa tunkeutumisen ilmaisujärjestelmää.
</t>
  </si>
  <si>
    <t xml:space="preserve">Alueelle on nimetty vastuuhenkilö, joka huolehtii seuraavista pääsyoikeuksien ja avainhallinnan menettelyistä. 
- pääsyoikeuksien ja avainten hallinnan menettelytavat ja roolit on luotu, dokumentoitu ja ohjeistettu.
- pääsyoikeuksien ja avainten haltijoista on lista.
- pääsyoikeudet tarkastetaan säännöllisesti ja ne pidetään ajan tasalla.
- avainten ja kulkutunnisteiden lisätilauksia ja muutoksia koskevat toimet on vastuutettu.
- avainkortteja, jakamattomia avaimia ja kulkutunnisteita säilytetään asianmukaisesti.
- avaimen luovutusperuste kirjataan dokumenttiin.
- avaimet luovutetaan vain itsenäisen pääsyoikeuden alueelle saaneelle henkilölle.
- henkilöstössä tapahtuvat muutokset välittyvät tarvittaessa avainten hallintaoikeuteen. 
</t>
  </si>
  <si>
    <t>TihL 15 § 2 mom; TLA 9 §</t>
  </si>
  <si>
    <t xml:space="preserve">Suositus turvallisuusluokiteltavien asiakirjojen käsittelystä 2021:5 sivut 39 ja 44; ISO/IEC 27002:2022 7.2
</t>
  </si>
  <si>
    <t>F-05.2, F-06.3</t>
  </si>
  <si>
    <t>FYY-05.5</t>
  </si>
  <si>
    <t>Turvallisuusalue - Vierailijat</t>
  </si>
  <si>
    <t xml:space="preserve">Muilla kuin organisaation asianmukaisesti valtuuttamilla henkilöillä (vierailijoilla) on aina saattaja.
</t>
  </si>
  <si>
    <t xml:space="preserve">Vieraiden isännällä tulee olla itsenäinen pääsyoikeus turvallisuusalueelle, jolle hän vie vieraat sekä oikeus isännöidä vieraita. Vierailumenettelyillä on varmistuttava, ettei vierailulla vaaranneta alueella käsiteltävän tai säilytettävän tiedon luottamuksellisuutta. 
Alueella tehtävät huoltotoimenpiteet tapahtuvat vain alueelle itsenäisen pääsyoikeuden saaneen henkilön toimesta tai valvonnassa. Tiedon käsittely alueella on huolto-, asennus- ja siivoustoimien aikana kielletty, jos on vaara, että edellä mainittuja toimenpiteitä suorittava henkilöstö saa tiedon suojattavista tiedosta.
Saattamaton vierailijamenettely (unescorted visitor) on mahdollista hyväksyä alueen niille vierailijoille, jotka täyttävät pääsyoikeuksien myöntämisen vaatimukset.
</t>
  </si>
  <si>
    <t xml:space="preserve">Organisaation on hyväksynyt menettelyohjeen vierailijoita varten. Vierailijaohje voi käsitellä muun muassa seuraavia asioita:
- Vieras tunnistetaan ja varustetaan vieraskortilla.
- Vierailu kirjataan.
- Vierailijoita ei päästetä tai jätetä alueille valvomatta ja isäntä vastaa ulkopuolisista henkilöistä koko vierailun ajan.
- Henkilöstö on ohjeistettu vierailijoiden isännöintiä varten.
- Huolehtiminen siitä, ettei vieras pääse oikeudettomasti näkemään, kuulemaan tai muutoin saa haltuunsa suojattavaa tietoa.
- Henkilökunta on ohjeistettu reagoimaan ilman tunnistetta liikkuviin henkilöihin.
</t>
  </si>
  <si>
    <t xml:space="preserve">TLA 9 §
</t>
  </si>
  <si>
    <t xml:space="preserve">Suositus turvallisuusluokiteltavien asiakirjojen käsittelystä 2021:5 sivut 39 ja 44
</t>
  </si>
  <si>
    <t xml:space="preserve">F-05.3, F-06.4
</t>
  </si>
  <si>
    <t>Hallinnollisten alueiden vaatimukset</t>
  </si>
  <si>
    <t>FYY-06</t>
  </si>
  <si>
    <t>Hallinnollinen alue</t>
  </si>
  <si>
    <t xml:space="preserve">Hallinnollisen alueen tulee täyttää tässä osiossa esitetyt suositukset sekä riskilähtöisesti arvioidut tarkennukset siten, että turvatoimien tavoitteet saavutetaan.
</t>
  </si>
  <si>
    <t xml:space="preserve">Salassa pidettäviä tietoja ja asiakirjoja sisältävät tietovarannot sekä niiden käsittelyyn käytetyt tietojärjestelmät on sijoitettava viranomaisen tähän tarkoitukseen määrittelemälle suojatulle-alueelle, jollainen on esimerkiksi turvallisuusluokitteluasetuksessa kuvattu hallinnollinen alue tai tieto pitää suojata riskiperusteisesti muilla turvakontrolleilla.
Hallinnollisella alueella tarkoitetaan normaaliin työskentelyyn tarkoitettuja alueita ja tiloja, kuten toimistotilaa tai useista eri toimistotiloista muodostuvaa kokonaisuutta.
Hallinnollisen alueen tulee täyttää tässä osiossa esitetyt vähimmäisvaatimukset. Vähimmäisvaatimusten lisäksi tulee suunnitella, vastuuttaa, toteuttaa ja ylläpitää riskien arviointiin ja monitasoiseen suojausperiaatteeseen perustuvat muut riskienhallintatoimenpiteet siten, että turvallisuusluokiteltuihin tietoihin kohdistuvat jäännösriskit voidaan hyväksyä ja turvatoimien tavoitteet saavutetaan.
Lisäksi hallinnollisen alueen tulee täyttää kaikki turvallisuusalueita koskevat yhteiset vaatimukset, jotka on kuvattu kriteerissä "Turvallisuusalue".
</t>
  </si>
  <si>
    <t xml:space="preserve">Suositus turvallisuusluokiteltavien asiakirjojen käsittelystä 2021:5 sivu 38
</t>
  </si>
  <si>
    <t>F-05</t>
  </si>
  <si>
    <t>FYY-06.1</t>
  </si>
  <si>
    <t xml:space="preserve">Hallinnollinen alue - alueen raja ja rakenteet </t>
  </si>
  <si>
    <t xml:space="preserve">Alueella on oltava selkeästi määritelty näkyvä raja, mutta aluetta rajaavalle rakenteelle (seinät, ovet ja ikkunat sekä lattia- ja kattorakenteet) ei aseteta erityisiä vaatimuksia.
</t>
  </si>
  <si>
    <t xml:space="preserve">Fyysisten turvatoimien tavoite tulee täyttyä ennen kuin turvallisuusalueet voidaan hyväksyä. Alueen rakenne voi olla normaalia toimistorakennetta. Aluetta rajaavia rakenteita tulee vahventaa, mikäli alueella säilytetään turvallisuusluokiteltua tietoa ja murtoriski arvioidaan todennäköiseksi. Näitä vahvennuksia tulee arvioida suhteessa alueen ympäröivien tilojen antamaan muuhun suojaan sekä vartiointihenkilöstön vasteaikaan. Alueen aukot, jotka eivät ole käytössä kulkemiseen, on voitava lukita tai sulkea, jotta alueelle kulkua voidaan hallinnoida asianmukaisesti. Mikäli hallinnollisen alueen rajoilla on käytetty mekaanista lukkoa, lukon avainten kopiointi tulisi olla estetty patenttisuojalla. Mikäli mahdollista, hätäpoistumistiet eivät saa kulkea turva-alueen kautta. Suosituksena on, että monitasoisen suojauksen kokonaisuuteen sisältyvät ratkaisut ovat eurooppalaisten standardien ja niiden vähimmäisvaatimusten mukaisia. 
</t>
  </si>
  <si>
    <t xml:space="preserve">Standardeja, joita voidaan käyttää referenssinä arvioitaessa aluetta rajaavia rakenteita: Seinät ja ovet sekä lattia- ja kattorakenteet: SFS-EN 1627, RC1-RC6; Ikkunat (suojauslasi): SFS-EN 356, P4A-P5A ja P6B-P8B
</t>
  </si>
  <si>
    <t xml:space="preserve">TihL 13 § 1 mom, 15 § 2 mom; TLA 9 § 1 mom 1 k
</t>
  </si>
  <si>
    <t xml:space="preserve">Suositus turvallisuusluokiteltavien asiakirjojen käsittelystä 2021:5 sivut 39
</t>
  </si>
  <si>
    <t>F-05.1</t>
  </si>
  <si>
    <t>FYY-06.2</t>
  </si>
  <si>
    <t>Hallinnollinen alue - kulunvalvonta</t>
  </si>
  <si>
    <t xml:space="preserve">Alueelle pääsyä tulee valvoa, mikäli se on riskien arvioinnin perusteella tarkoituksenmukaista.
</t>
  </si>
  <si>
    <t xml:space="preserve">Kulunvalvonta voi olla tarkoituksenmukaista esimerkiksi, jos alueella käsitellään turvallisuusluokan III tai korkeamman luokan tietoa. 
</t>
  </si>
  <si>
    <t xml:space="preserve">Suositus kulunvalvonnan toteuttamisesta:
- Organisaatiossa käytetään kuvallisia henkilökortteja tai vastaavia näkyviä tunnisteita.
- Henkilöllä on vain ne kulkuoikeudet, joita hän tarvitsee työtehtäviensä hoitamiseksi.
- Kulkuoikeuden myöntämisperuste kirjataan dokumenttiin ja vain nimetyillä henkilöillä on kulkuoikeudet alueelle.
- Henkilöstössä tapahtuvat muutokset välittyvät tarvittaessa kulkuoikeuksiin.
- Kulunvalvontajärjestelmän hallinta voi olla ulkoistettu, jos se on hyvin hallinnoitu.
</t>
  </si>
  <si>
    <t>TLA 7 §, 9 §</t>
  </si>
  <si>
    <t>F-05.2</t>
  </si>
  <si>
    <t>FYY-06.3</t>
  </si>
  <si>
    <t xml:space="preserve">Hallinnollinen alue - pääsyoikeuksien myöntäminen </t>
  </si>
  <si>
    <t xml:space="preserve">Ainoastaan asianmukaisesti valtuutetuilla henkilöillä on itsenäinen pääsy alueelle. Itsenäisen pääsyn alueelle voi myöntää tiedoista vastaava organisaatio tai sovituilla menettelyillä fyysisen tilan hallinnasta vastaava palvelun tuottaja, kuten esimerkiksi pilvipalvelun toimittaja. 
</t>
  </si>
  <si>
    <t xml:space="preserve">Pääsyn rajaaminen alueelle voidaan toteuttaa joko mekaanisesti, elektronisesti tai henkilökohtaiseen tunnistamiseen perustuen. 
</t>
  </si>
  <si>
    <t>TLA 9 §</t>
  </si>
  <si>
    <t xml:space="preserve">Suositus turvallisuusluokiteltavien asiakirjojen käsittelystä 2021:5 sivu 39, PiTuKri FT-03
</t>
  </si>
  <si>
    <t>FYY-06.4</t>
  </si>
  <si>
    <t>Hallinnollinen alue - tunkeutumisen ilmaisujärjestelmät</t>
  </si>
  <si>
    <t xml:space="preserve">Tarvittaessa tunkeutumisen ilmaisujärjestelmää voidaan käyttää täydentävänä monitasoisen suojauksen riskienhallintakeinona.
</t>
  </si>
  <si>
    <t xml:space="preserve">Alue ja sinne johtavat ovet voidaan varustaa tunkeutumisen ilmaisujärjestelmällä (murtohälytysjärjestelmä), mikäli alueella säilytetään turvallisuusluokiteltua tietoa lukittavassa toimistokalusteessa ja murtoriski arvioidaan todennäköiseksi.
Alue tai alueelle johtavat reitit voidaan varustaa tunkeutumisen ilmaisujärjestelmällä (murtohälytysjärjestelmä), mikäli alueella säilytetään turvallisuusluokiteltua tietoa ja murtoriski arvioidaan todennäköiseksi. Alueen mahdollista tunkeutumisen ilmaisujärjestelmää tai korvaavaa järjestelyä arvioitaessa tulee ottaa huomioon alueen rakenteita koskevan vaatimuksen yhteydessä käsitelty vasteaika-arvio. Mikäli alue on valvottu tunkeutumisen ilmaisujärjestelmällä, alueen suositellaan olevan valvottu järjestelmän avulla, kun alueella ei työskennellä. Tunkeutumisen ilmaisujärjestelmän sijoitustilan tulisi sijaita sen suojaamalla turvallisuusalueella.
</t>
  </si>
  <si>
    <t xml:space="preserve">Suosituksena on, että monitasoisen suojauksen kokonaisuuteen sisältyvät laitteet ja järjestelmät ovat eurooppalaisten standardien ja niiden vähimmäisvaatimusten mukaisia. Standardeja, joita voidaan käyttää referenssinä arvioitaessa soveltuvaa ratkaisua:
Tunkeutumisen ilmaisujärjestelmät: SFS-EN 50131 luokat 1 – 4, tavoitetaso 2; Tunkeutumisen ilmaisujärjestelmän ilmoituksensiirto: SFS-EN 50136-1 luokat DP1 - DP4 ja SP5 - SP6; Vartioimisliikkeen hälytyskeskus: SFS-EN 50518 
</t>
  </si>
  <si>
    <t>TLA 7 §</t>
  </si>
  <si>
    <t xml:space="preserve">Suositus turvallisuusluokiteltavien asiakirjojen käsittelystä 2021:5 sivu 40
</t>
  </si>
  <si>
    <t>F-05.5</t>
  </si>
  <si>
    <t>Turva-alueiden vaatimukset</t>
  </si>
  <si>
    <t>FYY-07</t>
  </si>
  <si>
    <t>Turva-alue</t>
  </si>
  <si>
    <t xml:space="preserve">Turva-alueen tulee täyttää tässä osiossa esitetyt suositukset sekä riskilähtöisesti arvioidut lisätarkennukset siten, että monitasoisen suojauksen tavoitteet saavutetaan.
</t>
  </si>
  <si>
    <t xml:space="preserve">Turva-alueella tarkoitetaan organisaation työskentelyyn tarkoitettuja, hallinnollista aluetta paremmin suojattuja alueita ja tiloja, joissa turvallisuusluokiteltuja tietoja käsitellään ja säilytetään. Turva-alue voidaan tilapäisesti perustaa hallinnolliselle alueelle turvallisuusluokiteltua kokousta tai muuta vastaavaa tarkoitusta varten.
Turva-alueen tulee täyttää tässä osiossa esitetyt suositukset. Suositusten lisäksi tulee suunnitella, vastuuttaa, toteuttaa ja ylläpitää riskien arviointiin ja monitasoiseen suojausperiaatteeseen perustuvat muut riskienhallintatoimenpiteet siten, että turvallisuusluokiteltuihin tietoihin kohdistuvat jäännösriskit voidaan hyväksyä ja monitasoisen suojauksen tavoitteet saavutetaan.
Lisäksi turva-alueen tulee huomioida kaikki turvallisuusalueita koskevat yhteiset suositukset, jotka on kuvattu kriteerissä "Turvallisuusalue".
</t>
  </si>
  <si>
    <t xml:space="preserve">Suositus turvallisuusluokiteltavien asiakirjojen käsittelystä 2021:5 sivu 43
</t>
  </si>
  <si>
    <t>F-06</t>
  </si>
  <si>
    <t>FYY-07.1</t>
  </si>
  <si>
    <t xml:space="preserve">Turva-alue - alueen raja ja rakenteet </t>
  </si>
  <si>
    <t xml:space="preserve">Alueella on oltava selkeästi määritelty näkyvä raja. Mikäli alueella ei ole tiedon säilytykseen riittäväksi arvioitua säilytysratkaisua, on alueen seinien, lattian, katon, ikkunoiden ja ovien tarjottava tietojen säilytyksen edellyttämä turvallisuustaso.
</t>
  </si>
  <si>
    <t xml:space="preserve">Alueen aukot, joita ei käytetä kulkemiseen, on voitava lukita tai sulkea kalteroinnilla tai vahvoilla terässäleiköillä, jotta alueelle kulkua on mahdollista hallinnoida luotettavasti. Aukot on valvottava tunkeutumisen ilmaisujärjestelmällä, mikäli alueella ei ole henkilöstöä palveluksessa vuorokauden ympäri tai tiloja ei tarkasteta normaalin työajan päätteeksi ja satunnaisiin aikoihin työajan ulkopuolella.
Alueen rakenteita tulee vahventaa, mikäli alueella säilytetään turvallisuusluokiteltua tietoa ja murtoriski arvioidaan todennäköiseksi. Alueen rajan ja rakenteiden olisi tällöin oltava betonia, terästä, tiiltä tai vahvaa puuta. Puutteelliset rakenteet, kuten normaali toimistorakenne on vahvennettava. Seinäelementtejä ei saa voida irrottaa kokonaisina tilan ulkopuolelta. Näitä vahvennuksia tulee arvioida suhteessa alueen ympäröivien tilojen antamaan muuhun suojaan sekä vartiointihenkilöstön vasteaikaan. Ovien rakenteita tarkastettaessa on kiinnitettävä huomiota karmin rakenteeseen, oven ja karmin välykseen, sekä karmien kiinnitykseen seinärakenteeseen. 
Mikäli alueella ei ole tiedon säilytykseen riittäväksi arvioitua säilytysratkaisua, tulisi alueen seinien, lattian, katon, ikkunoiden ja ovien täyttää vähintään standardin SFS-EN-1627 luokkaa RC3 vastaava suoja. Suojauslasitus tulisi ensisijaisesti toteuttaa osana normaalia ikkunarakennetta. Jälkiasennettavia ratkaisuja tulee välttää.
Hätäpoistumistiet eivät saa kulkea turva-alueen kautta. Mikäli hätäpoistumistien on välttämätöntä kulkea turva-alueen kautta, tulee varmistua, että hätäpoistumistie on varustettu tunkeutumisen ilmaisujärjestelmällä. Turva-aluetta, jonka läpi kulkee hätäpoistumistie ei voida hyväksyä, mikäli turva-alueelle tulo merkitsee käytännössä välitöntä pääsyä siellä oleviin turvallisuusluokiteltuihin tietoihin tai alueella ei ole tiedon säilytykseen riittäväksi arvioitua säilytysratkaisua.
</t>
  </si>
  <si>
    <t xml:space="preserve">Seinät ja ovet sekä lattia- ja kattorakenteet: SFS-EN 1627, RC1-RC6, tavoitetaso RC3; 
Ikkunat (suojauslasi): SFS-EN 356, P4A-P5A ja P6B-P8B, tavoitetaso P5A
</t>
  </si>
  <si>
    <t xml:space="preserve">TLA 9 § 1 mom 2 k
</t>
  </si>
  <si>
    <t>F-06.1</t>
  </si>
  <si>
    <t>FYY-07.2</t>
  </si>
  <si>
    <t>Turva-alue - kulunvalvonta</t>
  </si>
  <si>
    <t xml:space="preserve">Alueen rajalla tulee valvoa kaikkea kulkua sisään ja ulos kulkulupien avulla tai tunnistamalla henkilöt henkilökohtaisesti.
</t>
  </si>
  <si>
    <t xml:space="preserve">Kulunvalvonta voidaan toteuttaa joko elektronisesti tai henkilökohtaiseen tunnistamiseen perustuen. Alueen rajalla voidaan käyttää kaksipuoleista kulunvalvontaa. Suosituksena on käyttää kaksoistunnistusta sisään ja/tai ulos mentäessä.
Kulunvalvontajärjestelmän etäyhteydet ja lukijalaitteiden asennus tulee toteuttaa riskienarvioinnin perusteella riittävän tietoturvallisesti siten, että järjestelmään pääsy on vain valtuutetuista päätelaitteista ja verkoista ja että tietoliikenneyhteys ja kulunvalvontajärjestelmän rajapinnat on suojattu siten, että ulkopuolisilla ei ole pääsyä välitettyihin tietoihin. Kulunvalvontajärjestelmän sijoitustilan tulisi sijaita sen suojaamalla turvallisuusalueella.
</t>
  </si>
  <si>
    <t xml:space="preserve">Suositus kulunvalvonnan toteuttamisesta:
- Organisaatiossa käytetään kuvallisia henkilökortteja tai vastaavia näkyviä tunnisteita.
- Turva-alueen kulkuoikeudet myöntää nimetty vastuuhenkilö organisaatiossa
- Kulunvalvonnan hallintajärjestelmän menettelytavat on ohjeistettu ja dokumentoitu:
-- Myönnetyistä kulkuoikeuksista laaditaan dokumentti ja sitä ylläpitää nimetty vastuuhenkilö.
-- Henkilöllä on vain ne kulkuoikeudet, joita hän tarvitsee työtehtäviensä hoitamiseksi.
-- Kulkuoikeuden myöntämisperuste kirjataan dokumenttiin ja vain nimetyillä henkilöillä on kulkuoikeudet alueelle.
-- Henkilöstössä tapahtuvat muutokset välittyvät tarvittaessa kulkuoikeuksiin.
-- Organisaatioon kuuluvan henkilöstön ja ulkopuolisten henkilöiden luettelot pidetään erillään.
-- Kulkuoikeudet katselmoidaan säännöllisin väliajoin esimerkiksi 6kk:n välein organisaatiosta nimetyn vastuuhenkilön toimesta.
-- Kulunvalvontajärjestelmän hallinta voi olla ulkoistettu, jos se on hyvin hallinnoitu
-- Peruskäyttäjän työasemalta tapahtuva oven avaus turva-alueelle pitää olla estetty
- Turva-alueelle kulkuoikeus on vain alueelle oikeutetulla henkilöllä. Kulku alueelle pitää olla myöhemmin todennettavissa.
- Kulku tilaan pitää olla myöhemmin todennettavissa.
- Tunnisteiden tulee käyttää nykyaikaista ja salattua lukutekniikkaa tai edellyttää kaksoistunnistusta
Suosituksena on, että monitasoisen suojauksen kokonaisuuteen sisältyvät laitteet ja järjestelmät ovat eurooppalaisten standardien ja niiden vähimmäisvaatimusten mukaisia:
Elektroniset kulunvalvontajärjestelmät: SFS-EN 60839-11-1 ja 2, luokat 1-4. 
Kameravalvontajärjestelmät: SFS-EN 62676, Suunnittelu Finanssialan K-menetelmän mukaisesti. Kameravalvontajärjestelmän tallenteiden säilymisaika määritellään riskiperusteisesti organisaation poikkeamien havainnointikyvyn mukaisesti huomioiden ennakoivat ja reagoivat menettelyt. Suositeltava vähimmäisaika tallenteille on 1 kk. Lisäksi kameravalvontajärjestelmä voidaan liittää tunkeutumisen ilmaisujärjestelmään.
</t>
  </si>
  <si>
    <t>TLA 9 § 1 mom 2 k</t>
  </si>
  <si>
    <t>F-06.2</t>
  </si>
  <si>
    <t>FYY-07.3</t>
  </si>
  <si>
    <t xml:space="preserve">Turva-alue - pääsyoikeuksien myöntäminen </t>
  </si>
  <si>
    <t xml:space="preserve">Itsenäinen pääsyoikeus alueelle voidaan myöntää vain organisaation asianmukaisesti valtuuttamalle henkilölle, jonka luotettavuus on varmistettu ja jolla on erityinen lupa tulla alueelle.
</t>
  </si>
  <si>
    <t xml:space="preserve">Luotettavuus tulisi ensisijaisesti varmistaa henkilöturvallisuusselvitysmenettelyn avulla.
Alueelle pääsemisen perusteena tulisi olla tiedonsaantitarve. Tapauskohtaisesti erityinen lupa voi tarkoittaa myös työskentelytarvetta alueella. Alueelle tulee nimetä vastuuhenkilö, joka huolehtii pääsyoikeuksien, kulkutunnisteiden ja avainten hallinnasta.
</t>
  </si>
  <si>
    <t xml:space="preserve">Suositus turvallisuusluokiteltavien asiakirjojen käsittelystä 2021:5 sivu 44
</t>
  </si>
  <si>
    <t>F-06.3</t>
  </si>
  <si>
    <t>FYY-07.4</t>
  </si>
  <si>
    <t>Turva-alue - vierailijat</t>
  </si>
  <si>
    <t xml:space="preserve">Jos turva-alueelle tulo merkitsee käytännössä välitöntä pääsyä siellä oleviin turvallisuusluokiteltuihin tietoihin:
-  alueella tavanomaisesti säilytettyjen tietojen korkein turvallisuusluokka on ilmoitettava selkeästi sekä 
- kaikilla vierailijoilla on oltava erityinen lupa tulla alueelle, heillä on aina oltava saattaja ja heidän luotettavuutensa on oltava varmistettu asianmukaisesti, paitsi jos on varmistettu, ettei vierailijoilla ole pääsyä turvallisuusluokiteltuihin tietoihin.
</t>
  </si>
  <si>
    <t xml:space="preserve">Kriteeri täydentää kaikkia turvallisuusalueita koskevaa kriteeriä "Turvallisuusalue - Vierailijat".
</t>
  </si>
  <si>
    <t>TLA 9 § 1 mom 2 k, 10 § 1 mom</t>
  </si>
  <si>
    <t>F-06.4</t>
  </si>
  <si>
    <t>FYY-07.5</t>
  </si>
  <si>
    <t>Turva-alue - turvallisuusohjeet</t>
  </si>
  <si>
    <t xml:space="preserve">Kullekin turva-alueelle on laadittava ohjeet noudatettavista turvallisuusmenettelyistä.
</t>
  </si>
  <si>
    <t xml:space="preserve">Turvallisuusohjeet kattavat turvallisuusluokiteltuun tietoon liittyvät prosessit ja turvallisuusalueet koko tiedon elinkaaren ajalta. Turvallisuusohjeiden noudattamista valvotaan ja ohjeiden muutostarpeita arvioidaan säännöllisesti. Turvallisuusohjeiden ajantasaisuus sekä jalkautuminen varmistetaan säännöllisesti, vähintään vuosittain.
</t>
  </si>
  <si>
    <t xml:space="preserve">Kullekin turva-alueelle on laadittava turvallisuusmenettelyt, joissa on ohjeet seuraavista asioista:
a) Tiedon säilyttäminen ja käsitteleminen alueella: turvallisuusluokka tiedoille, joita alueella voidaan käsitellä ja säilyttää.
b) Sovellettavat valvonta- ja suojatoimenpiteet.
c) Pääsyoikeuksien myöntäminen alueelle: henkilöt, joilla on pääsy alueelle ilman saattajaa erityisen luvan ja luotettavuuden varmistamisen perusteella.
d) Vierailijat: tarvittaessa menettelyt saattajien käyttämiseksi tai turvallisuusluokiteltujen tietojen suojaamiseksi silloin, kun muille henkilöille myönnetään pääsy alueelle.
e) Muut asiaan kuuluvat toimenpiteet ja menettelyt.
</t>
  </si>
  <si>
    <t>TihL 4 § 2 mom; TLA 10 § 1 mom</t>
  </si>
  <si>
    <t xml:space="preserve">Suositus turvallisuusluokiteltavien asiakirjojen käsittelystä 2021:5 sivu 45
</t>
  </si>
  <si>
    <t>F-06.5</t>
  </si>
  <si>
    <t>FYY-07.6</t>
  </si>
  <si>
    <t>Turva-alue - tunkeutumisen ilmaisujärjestelmät</t>
  </si>
  <si>
    <t xml:space="preserve">Alue, jolla ei ole henkilöstöä palveluksessa vuorokauden ympäri, on tarvittaessa tarkastettava normaalin työajan päätteeksi ja satunnaisiin aikoihin työajan ulkopuolella, paitsi jos alueelle on asennettu tunkeutumisen ilmaisujärjestelmä (murtohälytysjärjestelmä).
</t>
  </si>
  <si>
    <t xml:space="preserve">Alueen raja ja rakenteet (seinät, ovet ja ikkunat sekä lattia- ja kattorakenteet) ja/tai alueelle johtavat reitit voidaan varustaa tunkeutumisen ilmaisujärjestelmällä (murtohälytysjärjestelmä), mikäli alueella säilytetään turvallisuusluokiteltua tietoa ja murtoriski arvioidaan todennäköiseksi. Alueen mahdollista tunkeutumisen ilmaisujärjestelmää tai korvaavaa järjestelyä arvioitaessa tulee ottaa huomioon alueen rakenteita koskevan vaatimuksen yhteydessä käsitelty vasteaika-arvio. Mikäli alue on valvottu tunkeutumisen ilmaisujärjestelmällä, alueen suositellaan olevan valvottu järjestelmän avulla, kun alueella ei työskennellä.
Ilmoituksensiirto tulisi toteuttaa valvottuna tai kahdennettuna yhteytenä. Ilmoituksensiirtolaitteen avulla tulee siirtää vartioimisliikkeelle tai muuhun turvallisuusvalvomoon vähintään seuraavat tiedot: murto, päälle/pois, sabotaasi, vika. Järjestelmää tulee operoida henkilökohtaisen koodin avulla. Järjestelmän etäyhteydet ja hallintalaitteiden asennus tulee toteuttaa riskienarvioinnin perusteella riittävän tietoturvallisesti siten, että järjestelmään pääsy on vain valtuutetuista päätelaitteista ja verkoista ja että tietoliikenneyhteys ja tunkeutumisen ilmaisujärjestelmän rajapinnat on suojattu siten, että ulkopuolisilla ei ole pääsyä välitettyihin tietoihin. Tunkeutumisen ilmaisujärjestelmän sijoitustilan tulisi sijaita sen suojaamalla turvallisuusalueella.
Alueen tunkeutumisen ilmaisujärjestelmän hallinta tulee olla organisaation omassa hallinnassa. Hallinta voi olla ulkoistettu riskien arvioinnin ja tehtävien eriyttämisen perusteella. Järjestelmän hallintaan, sen antamiin hälytyksiin ja vastetoimintaan liittyvät menettelyt tulee arvioida. Ilmoituksensiirron (1krt/kk) ja vasteajan (1krt/v) testaus tulee olla säännöllistä ja dokumentoitua. 
Vartiointihenkilöstön tulee olla kohdekoulutettu alueella toimimiseen. Vartiointihenkilöstön osaamisen ja
työvälineiden tulee olla riittävät suhteessa toimintaympäristön riskeihin. Hälytystilanteessa alueelle voidaan edellyttää saapuvan kaksi henkilöä samanaikaisesti, mikäli turva-alueelle tulo merkitsee käytännössä välitöntä pääsyä siellä oleviin turvallisuusluokiteltuihin tietoihin tai alueella ei ole tiedon säilytykseen riittäväksi arvioitua säilytysratkaisua.
</t>
  </si>
  <si>
    <t xml:space="preserve">Suosituksena on, että monitasoisen suojauksen kokonaisuuteen sisältyvät laitteet ja järjestelmät ovat eurooppalaisten standardien ja niiden vähimmäisvaatimusten mukaisia: 
Tunkeutumisen ilmaisujärjestelmät: SFS-EN 50131, luokat 1 – 4, tavoitetaso 3; 
Tunkeutumisen ilmaisujärjestelmän ilmoituksensiirto: SFS-EN 50136-1, luokat DP1 - DP4 ja SP5 - SP6, tavoitetaso DP3-DP4 (dual path) tai SP5-SP6 (single path);
Vartioimisliikkeen hälytyskeskus: SFS-EN 50518,  Liikkeen on oltava standardin mukaisesti pätevä ja lisäksi ylläpidettävä SFS-EN ISO 9001:n mukaista sertifioitua laadunhallintajärjestelmää tai liikkeen tulee olla arvioitu soveltuvin osin tätä standardia vastaavaksi.
</t>
  </si>
  <si>
    <t>TLA 7 §, 9 § 1 mom 2 k</t>
  </si>
  <si>
    <t>F-06.7</t>
  </si>
  <si>
    <t>FYY-07.7</t>
  </si>
  <si>
    <t>Turva-alue - säilytysyksiköiden avaimet ja pääsykoodit</t>
  </si>
  <si>
    <t xml:space="preserve">Säilytysyksiköiden avaimet tai pääsykoodit ovat sellaisten henkilöiden hallussa, joilla on tiedonsaantitarve säilytysyksikössä säilytettävään tietoon. Kyseisten henkilöiden on osattava numeroyhdistelmät ulkoa. 
Turvallisuusluokiteltuja tietoja sisältävien säilytysyksiköiden numeroyhdistelmät on vaihdettava:
- tehdaskoodit on vaihdettava uuden turvallisen säilytyspaikan vastaanoton yhteydessä
- aina, kun numeroyhdistelmän tuntevassa henkilöstössä tapahtuu muutos.
- aina, kun tiedot ovat vaarantuneet tai kun niiden epäillään vaarantuneen.
- kun jokin lukoista on huollettu tai korjattu.
</t>
  </si>
  <si>
    <t>TLA 8 §, 9 § 1 mom 2, 10 § 1 mom</t>
  </si>
  <si>
    <t xml:space="preserve">Suositus turvallisuusluokiteltavien asiakirjojen käsittelystä 2021:5 sivu 46
</t>
  </si>
  <si>
    <t>F-06.10</t>
  </si>
  <si>
    <t>Tietoaineistoturvallisuuden vaatimukset</t>
  </si>
  <si>
    <t>FYY-08</t>
  </si>
  <si>
    <t>Tietojen kuljettaminen</t>
  </si>
  <si>
    <t xml:space="preserve">1. Tiedot tulee kuljettaa tietojen riittävän suojaamisen huomioivia, organisaation ohjeita noudattaen.  
2. Tiedot on pakattava niin, että ne on suojattu luvattomalta ilmitulolta. 
3. Tietoja saa kuljettaa turvallisuusalueiden ulkopuolelle suojaamalla sähköiset tietovälineet riittävän turvallisella salauksella.
4. Salaamattomia tietoja voidaan kuljettaa postipalvelujen välityksellä.
</t>
  </si>
  <si>
    <t>TihL 13 § 1 mom;
TLA 13 §</t>
  </si>
  <si>
    <t xml:space="preserve">Suositus turvallisuusluokiteltavien asiakirjojen käsittelystä 2021:5 sivut 26-28
</t>
  </si>
  <si>
    <t>TEK-16, FYY-02</t>
  </si>
  <si>
    <t>F-08.1</t>
  </si>
  <si>
    <t>FYY-08.1</t>
  </si>
  <si>
    <t>Tietojen kuljettaminen - TL IV</t>
  </si>
  <si>
    <t xml:space="preserve">Alikriteeri tarkentaa pääkriteerin vaatimusta.
</t>
  </si>
  <si>
    <t xml:space="preserve">Turvallisuusluokan IV tiedoille vaatimus voidaan täyttää siten, että toteutetaan alla mainitut toimenpiteet:
1) Tieto pakataan suljettavaan kirjekuoreen tai vastaavaan. Pakkauksen ulkokuoressa ei saa olla merkintää turvallisuusluokasta eikä pakkaus saa ulkoisesti muuten paljastaa sen sisältävän turvallisuusluokiteltua tietoa (kirjekuoren tai vastaavan on oltava läpinäkymätön).
2) Tieto toimitetaan kotimaassa tavallisena postina, kirjattuna kirjeenä tai ko. turvallisuusluokalle hyväksytyn menettelyn mukaisesti. Ulkomaille toimitus postin välityksellä vain viranomaisen erillishyväksyntään pohjautuen.
3) Organisaation sisäiseen postin käsittelyketjuun kuuluu vain hyväksyttyä henkilöstöä.
4) Organisaatiossa on tunnistettu vaatimukset ja toteutettu menettelyt erityissuojattavien tietojen (esimerkiksi salausavaimet) välittämiseksi.
</t>
  </si>
  <si>
    <t>TLA 13 §</t>
  </si>
  <si>
    <t>FYY-08.2</t>
  </si>
  <si>
    <t>Tietojen kuljettaminen - TL III</t>
  </si>
  <si>
    <t xml:space="preserve">Turvallisuusluokan II-III salaamaton tieto on kuljettamista varten pakattava asianmukaisesti sekä kuljetettava se jatkuvan valvonnan alaisuudessa vastaanottajalle. Mainitun tiedon saa kuljettaa vastaanottajalle myös muulla turvallisella tavalla, jolla tiedon luottamuksellisuus ja eheys varmistetaan kyseiselle turvallisuusluokalle riittävällä tavalla.
</t>
  </si>
  <si>
    <t xml:space="preserve">Turvallisuusluokkien III tiedoille vaatimus voidaan täyttää siten, että lisäksi toteutetaan seuraavat toimenpiteet:
5)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6) Tieto toimitetaan ko. turvallisuusluokiteltuun tietoon oikeutetun organisaation henkilön toimesta jatkuvan valvonnan alaisuudessa vastaanottajalle. Vaihtoehtoisesti toimitus ko. turvallisuusluokalle hyväksytyn menettelyn mukaisesti. 
7) Organisaation sisäiseen postin käsittelyketjuun kuuluu vain hyväksyttyä turvallisuusselvitettyä henkilöstöä.
</t>
  </si>
  <si>
    <t>FYY-08.3</t>
  </si>
  <si>
    <t>Tietojen kuljettaminen - TL II</t>
  </si>
  <si>
    <t xml:space="preserve">Turvallisuusluokan II tiedoille vaatimus voidaan täyttää siten, että lisäksi toteutetaan seuraavat toimenpiteet:
8)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Sisäkuoren on oltava sinetöity. Vastaanottaja on ohjeistettava tarkistamaan sinetöinnin eheys ja ilmoitettava välittömästi, mikäli eheyden vaarantumista epäillään.
</t>
  </si>
  <si>
    <t>FYY-09</t>
  </si>
  <si>
    <t>Tietojen kopioiminen</t>
  </si>
  <si>
    <t xml:space="preserve">Kopioihin ja käännöksiin sovelletaan alkuperäistä tietoa koskevia turvatoimia.
</t>
  </si>
  <si>
    <t xml:space="preserve">Tulostimet ja kopiokoneet tulkitaan tietojärjestelmiksi ja niiden tulee siten täyttää vaatimukset sekä teknisen, fyysisen että hallinnollisen tietoturvallisuuden osalta. Tekniset vaatimukset voi täyttää muun muassa erillislaiteratkaisulla.
</t>
  </si>
  <si>
    <t xml:space="preserve">Vaatimus voidaan täyttää siten, että toteutetaan alla mainitut toimenpiteet:
1) Kopioita käsitellään kuten alkuperäistä tietoa.
2) Kopion voi luovuttaa edelleen vain henkilölle, jolla on käsittelyoikeus tietoon ja tarve tietosisältöön.
3) Kopion/tulosteen saa ottaa vain ko. turvallisuustason vaatimukset täyttävällä laitteella.
</t>
  </si>
  <si>
    <t xml:space="preserve">TihL 13 § 1 mom; TLA 2 § 2 mom
</t>
  </si>
  <si>
    <t xml:space="preserve">Suositus turvallisuusluokiteltavien asiakirjojen käsittelystä 2021:5 sivu 28
</t>
  </si>
  <si>
    <t>F-08.2</t>
  </si>
  <si>
    <t>FYY-09.1</t>
  </si>
  <si>
    <t>Tietojen kopioiminen - TL II</t>
  </si>
  <si>
    <t xml:space="preserve">Tietojen kopiot ja niiden käsittelijät on luetteloitava.
Tietojen kopiointia varten on hankittava tiedon laatineen viranomaisen lupa.
</t>
  </si>
  <si>
    <t xml:space="preserve">Vaatimus voidaan täyttää siten, että lisäksi toteutetaan seuraava toimenpide:
4) Kopiointi ja käsittelijät merkitään diaariin/rekisteriin tai luetteloidaan jollakin muulla vastaavalla menettelyllä.
</t>
  </si>
  <si>
    <t xml:space="preserve">TLA 14 § 1 mom 3 ja 4 k
</t>
  </si>
  <si>
    <t>FYY-10</t>
  </si>
  <si>
    <t>Tietojen kirjaaminen</t>
  </si>
  <si>
    <t xml:space="preserve">Turvallisuusluokan III tai sitä korkeamman luokan tiedon vastaanottaminen ja lähettäminen tulee kirjata.
Turvallisuusluokan III tietojen ja niitä korkeamman tason tietojen käsittely kirjataan sähköiseen lokiin, tietojärjestelmään, asianhallintajärjestelmään, asiarekisteriin tai tietoon (esimerkiksi dokumentin osaksi). 
</t>
  </si>
  <si>
    <t xml:space="preserve">Kirjaamisella tarkoitetaan sellaisten menettelyjen soveltamista, joilla rekisteröidään tiedon elinkaari, mukaan lukien sen jakelu ja hävittäminen. Jos kyseessä on tietojärjestelmä, kirjaamismenettelyt voidaan suorittaa järjestelmän omien prosessien avulla.
Tiedon elinkaaren rekisteröinnin käytännön toteutukset edellyttävät tyypillisesti muun muassa tapahtumien jäljitettävyydestä varmistumista.
</t>
  </si>
  <si>
    <t xml:space="preserve">TLA 14 § 1 mom 1 ja 2 k
</t>
  </si>
  <si>
    <t xml:space="preserve">Suositus turvallisuusluokiteltavien asiakirjojen käsittelystä 2021:5 sivu 19-23
</t>
  </si>
  <si>
    <t>F-08.3</t>
  </si>
  <si>
    <t>FYY-11</t>
  </si>
  <si>
    <t>Tietojen fyysinen tuhoaminen</t>
  </si>
  <si>
    <t xml:space="preserve">Ei-sähköisten tietojen tuhoaminen on järjestetty luotettavasti. Tuhoamisessa käytetään menetelmiä, joilla estetään tietojen kokoaminen uudelleen kokonaan tai osittain.
</t>
  </si>
  <si>
    <t xml:space="preserve">Tiedon suojaamisesta tulee huolehtia tiedon elinkaaren päättymiseen asti. Tämä tulee huomioida erityisesti tilanteissa, joissa käytetään kolmannen osapuolen palvelua tiedon tuhoamiseen. Käytännön toteutusmallina yleensä menettely, jossa tiedosta vastuussa oleva organisaatio valvoo tiedon tuhoamisprosessin aina elinkaaren päättymiseen saakka.
Suosituksena on, että monitasoisen suojauksen kokonaisuuteen sisältyvät laitteet ja järjestelmät ovat eurooppalaisten standardien ja niiden vähimmäisvaatimusten mukaisia. 
Käytettäessä hyväksyttyjä silppukokoja, voidaan silppuamisesta syntyvä jäte hävittää normaalin toimistojätteen mukaisesti. Tuhoamiseen voidaan käyttää silppuamisen korvaavana tai sitä tukevana suojauksena myös muita menetelmiä, joilla tietojen kokoaminen estetään luotettavasti (esimerkiksi paperisilpun polttaminen).
Sähköisten aineistojen tuhoaminen on kuvattu erikseen kriteerissä TEK-21.
</t>
  </si>
  <si>
    <t xml:space="preserve">TihL 21 §; TLA 15 §
</t>
  </si>
  <si>
    <t>Suositus turvallisuusluokiteltavien asiakirjojen käsittelystä 2021:5 sivut 29-31</t>
  </si>
  <si>
    <t>TEK-21</t>
  </si>
  <si>
    <t>F-08.4</t>
  </si>
  <si>
    <t>FYY-11.1</t>
  </si>
  <si>
    <t>Tietojen fyysinen tuhoaminen - TL IV</t>
  </si>
  <si>
    <t xml:space="preserve">- Paperiaineistojen silppukoko on enintään 30 mm2 (DIN 66399 / P5 tai DIN 32757 / DIN 4).
- Magneettisten kiintolevyjen silppukoko on enintään 320 mm2 (DIN 66399 / H-5.
- SSD-kiintolevyjen ja USB-muistien silppukoko on enintään 10 mm2 (DIN 66399 / E-5).
- Optisten medioiden silppukoko on enintään 10 mm2 (DIN 66399 / O-5).
</t>
  </si>
  <si>
    <t>TLA 15 §</t>
  </si>
  <si>
    <t>FYY-11.2</t>
  </si>
  <si>
    <t>Tietojen fyysinen tuhoaminen - TL III</t>
  </si>
  <si>
    <t xml:space="preserve">- Paperiaineistojen silppukoko on enintään 30 mm2 (DIN 66399 / P5 tai DIN 32757 / DIN 4).
- Magneettisten kiintolevyjen silppukoko on enintään 10 mm2 (DIN 66399 / H-6).
- SSD-kiintolevyjen ja USB-muistien silppukoko on enintään 10 mm2 (DIN 66399 / E-5).
- Optisten medioiden silppukoko on enintään 5 mm2 (DIN 66399 / O-6).
</t>
  </si>
  <si>
    <t>FYY-11.3</t>
  </si>
  <si>
    <t>Tietojen fyysinen tuhoaminen - TL II</t>
  </si>
  <si>
    <t xml:space="preserve">Jos tiedon on laatinut toinen viranomainen, tarpeettomaksi käyneen tiedon tuhoamisesta on ilmoitettava tiedon laatineelle viranomaiselle, jollei sitä palauteta tiedon laatineelle viranomaiselle. 
Tiedon tuhoamisen saa suorittaa vain henkilö, jonka viranomainen on tähän tehtävään määrännyt. Valmisteluvaiheen versiot voi tuhota ne laatinut henkilö.
</t>
  </si>
  <si>
    <t xml:space="preserve">- Paperiaineistojen silppukoko on enintään 10 mm2 (DIN 66399 / P6).
- Magneettisten kiintolevyjen silppukoko on enintään 10 mm2 (DIN 66399 / H-6).
- SSD-kiintolevyjen ja USB-muistien silppukoko on enintään 1 mm2 (DIN 66399 / E-6).
- Optisten medioiden silppukoko on enintään 5 mm2 (DIN 66399 / O-6).
</t>
  </si>
  <si>
    <t xml:space="preserve">TLA 15 §
</t>
  </si>
  <si>
    <t>Tietoliikenneturvallisuus</t>
  </si>
  <si>
    <t>TEK-01</t>
  </si>
  <si>
    <t>Luonnos</t>
  </si>
  <si>
    <t>Verkon rakenteellinen turvallisuus</t>
  </si>
  <si>
    <t xml:space="preserve">Tietojenkäsittely-ympäristö on erotettu julkisista tietoverkoista ja muista heikomman turvallisuustason ympäristöistä riittävän turvallisella tavalla.
</t>
  </si>
  <si>
    <t>Tietojärjestelmien erottelu on eräs vaikuttavimmista tekijöistä salassa pidettävän tiedon suojaamisessa. Erottelun tavoitteena on rajata salassa pidettävän tiedon käsittely-ympäristö hallittavaksi kokonaisuudeksi, ja erityisesti pystyä rajaamaan salassa pidettävän tiedon käsittely vain riittävän turvallisiin ympäristöihin. Ylemmän turvallisuusluokan käsittely-ympäristössä on mahdollista käsitellä myös matalamman luokan tietoja, edellyttäen, että käsittely toteutetaan kokonaisuudessaan ylemmän turvallisuusluokan suojausten mukaisesti. Erottelu voidaan toteuttaa esimerkiksi palomuuriratkaisun avulla.
Internet, sekä operaattorin tarjoamat MPLS-verkot ja esimerkiksi niin sanotut mustat kuidut (dark fiber) tulkitaan julkisiksi verkoiksi.</t>
  </si>
  <si>
    <t>TihL 13 § 1 mom; TLA 11 § 1 mom 1 k</t>
  </si>
  <si>
    <t xml:space="preserve">Traficom: Ohje yhdyskäytäväratkaisujen suunnitteluperiaatteista ja ratkaisumalleista (2.12.2021); ISO/IEC 27002:2022 8.20, 8.22;  Tiedonhallintalautakunta: Suositus turvallisuusluokiteltavien
asiakirjojen käsittelystä (2020:19, luku 6); PiTuKri TT-01
</t>
  </si>
  <si>
    <t>I-01</t>
  </si>
  <si>
    <t>TEK-01.1</t>
  </si>
  <si>
    <t>Uusi vaatimus</t>
  </si>
  <si>
    <t>Verkon rakenteellinen turvallisuus - salaus yleisissä tietoverkoissa</t>
  </si>
  <si>
    <t xml:space="preserve">Yleisessä tietoverkossa salassa pidettävää tietoa sisältävä tietoliikenne salataan salausratkaisulla, jossa ei ole tunnettuja haavoittuvuuksia ja jotka tukevat valmistajalta saatujen tietojen mukaan moderneja salausvahvuuksia ja -asetuksia tai vaihtoisesti siirto toteutetaan muuten suojattua tiedonsiirtoyhteyttä tai -tapaa käyttämällä.
</t>
  </si>
  <si>
    <t xml:space="preserve">Käytettävien salausvahvuuksien ja -asetusten valinnassa voidaan hyödyntää lähtökohtaisesti turvallisuusluokan IV mukaisia vahvuuksia ja asetuksia.
</t>
  </si>
  <si>
    <t xml:space="preserve">TihL 14 §; TLA 12 § ja 11 §:n 1 mom 7 k
</t>
  </si>
  <si>
    <t>ISO/IEC 27002:2022 8.24</t>
  </si>
  <si>
    <t>FYY-7.1</t>
  </si>
  <si>
    <t>I-01, I-12, I-15</t>
  </si>
  <si>
    <t>TEK-01.2</t>
  </si>
  <si>
    <t>Verkon rakenteellinen turvallisuus - palomuuri</t>
  </si>
  <si>
    <t xml:space="preserve">Tietojenkäsittely-ympäristön kytkeminen muiden turvallisuustasojen ympäristöihin edellyttää vähintään palomuuriratkaisun käyttöä.
</t>
  </si>
  <si>
    <t>TihL 13 § 1 mom; TLA 11 §:n 1 mom 1 ja 2 k</t>
  </si>
  <si>
    <t>PiTuKri TT-01</t>
  </si>
  <si>
    <t>TEK-01.3</t>
  </si>
  <si>
    <t>Verkon rakenteellinen turvallisuus - käsittely-ympäristöjen erottaminen</t>
  </si>
  <si>
    <t xml:space="preserve">Tietojenkäsittely-ympäristö on erotettu muista ympäristöistä.
</t>
  </si>
  <si>
    <t xml:space="preserve">Turvallisuusluokittelemattoman salassa pidettävän tiedon sekä myös turvallisuusluokan IV tietojenkäsittely-ympäristön yhdistäminen eri turvallisuusluokan ympäristöihin voidaan toteuttaa palomuuriratkaisuilla ja rajaamalla riskialttiiden alemman turvallisuusluokan ympäristöä käyttävien palvelujen (web-selailu, Internetin kautta reitittyvä sähköposti, ja vastaavat) liikenne kulkemaan erillisten sisältöä suodattavien välityspalvelinten kautta. Turvallisuusluokittelemattoman salassa pidettävän sekä myös turvallisuusluokan IV käsittely-ympäristöjä on mahdollista kytkeä Internetiin ja muihin ei-luotettuihin verkkoihin, edellyttäen että kytkennän tuomia riskejä pystytään muilla suojauksilla pienentämään riittävästi. Internet-kytkentäisyyden tuomien riskien pienentäminen turvallisuusluokittelemattomalle salassa pidettävälle tiedolle sekä turvallisuusluokalle IV edellyttää erityisesti ohjelmistopäivityksistä huolehtimista, vähimpien oikeuksien periaatteen mukaisia käyttöoikeuksia, järjestelmäkovennuksia sekä kykyä poikkeamien havainnointiin ja korjaaviin toimiin.  Tyypillinen käyttötapa turvallisuusluokittelemattoman salassa pidettävän tai/ja turvallisuusluokan IV käsittely-ympäristölle on organisaation rajattu tietojenkäsittely-ympäristön osa, joka voi muodostua esimerkiksi päätelaitepalveluista, sovelluspalveluista, tietoliikennepalveluista sekä niiden suojaamiseen liittyvistä järjestelyistä.
</t>
  </si>
  <si>
    <t xml:space="preserve">TihL 13 § 1 mom; TLA 11 § 1 mom 1 ja 2 k
</t>
  </si>
  <si>
    <t>I-01, I-06, I-08, I-11, I-19</t>
  </si>
  <si>
    <t>TEK-01.4</t>
  </si>
  <si>
    <t>Verkon rakenteellinen turvallisuus - salaaminen turva-alueiden ulkopuolella</t>
  </si>
  <si>
    <t xml:space="preserve">Hallitun fyysisen turvallisuusalueen ulkopuolelle menevä liikenne salataan riittävän turvallisella salausratkaisulla.
</t>
  </si>
  <si>
    <t>TihL 14 §; TLA 11 § 1 mom 7 k, 12 §</t>
  </si>
  <si>
    <t>TEK-01.5</t>
  </si>
  <si>
    <t>Verkon rakenteellinen turvallisuus - yhdyskäytäväratkaisun käyttö</t>
  </si>
  <si>
    <t xml:space="preserve">Turvallisuusluokat III-II:
Tietojenkäsittely-ympäristön kytkeminen muiden turvallisuusluokkien ympäristöihin edellyttää riittävän turvallisen yhdyskäytäväratkaisun käyttöä.
</t>
  </si>
  <si>
    <t>Tietojenkäsittely-ympäristöjen oletetaan lähtökohtaisesti olevan toisilleen ei-luotettuja myös tilanteissa, joissa yhdistetään eri organisaatioiden hallinnoimia tietojenkäsittely-ympäristöjä toisiinsa. Saman turvallisuusluokan käsittely-ympäristöjä voidaan liittää toisiinsa ko. turvallisuusluokalle riittävän turvallisen salausratkaisun avulla (esimerkiksi organisaation eri toimipisteiden ko. turvallisuusluokan käsittely-ympäristöjen yhteenliittäminen julkisen verkon ylitse).
Huom. Turvallisuusluokan ylitys hallintaliikenteen osalta edellyttää ko. turvallisuusluokalle riittävän turvallisen yhdyskäytäväratkaisun käyttöä. Käytännössä hallintaliikenne rajataankin lähes poikkeuksetta turvallisuusluokittain. Hallintaliikenteen suojausperiaatteet on käsitelty yksityiskohtaisemmin TEK-04.</t>
  </si>
  <si>
    <r>
      <t>Turvallisuusluokasta III lähtien yhdistäminen eri turvallisuusluokkien ympäristöihin voidaan toteuttaa riittävän turvallisilla yhdyskäytäväratkaisuilla. Yhdyskäytäväratkaisun tulee luotettavasti estää ylemmän turvallisuusluokan tiedon kulkeutuminen matalamman turvallisuusluokan ympäristöön. Turvallisten, hyväksyttävissä olevien yhdyskäytäväratkaisujen suunnitteluperiaatteita ja yleisiä ratkaisumalleja on kuvattu yksityiskohtaisemmin Kyberturvallisuuskeskuksen yhdyskäytäväratkaisuohjeessa  (www.ncsa.fi &gt; "Ohje yhdyskäytäväratkaisujen suunnitteluperiaatteista ja ratkaisumalleista").
Turvallisuusluokan III käsittely-ympäristöt ovat moniportaisesti loogisesti tai fyysisesti ei-luotetuista verkoista/järjestelmistä eristettyjä kokonaisuuksia. Fyysisellä eristämisellä tarkoitetaan OSI-mallin fyysisen kerroksen tasolla tapahtuvaa erottelua. Turvallisuusluokan III käsittely-ympäristöihin ei pääsääntöisesti kytketä mitään muita verkkoja tai järjestelmiä. Mikäli loppukäyttäjän työtehtävät edellyttävät pääsyä Internetiin tai muihin eri turvallisuusluokan järjestelmiin tai verkkoihin, se on yleensä perustelluinta järjestää erillisellä tietokoneella, jota ei kytketä turvallisuusluokan III verkkoon. Tapauskohtaisesti on mahdollista hyväksyä myös turvallisuusluokan III käsittely-ympäristön fyysisen kytkeminen erikseen tarkastettuun ja hyväksyttyyn verkkoon tai järjestelmään.</t>
    </r>
    <r>
      <rPr>
        <sz val="10"/>
        <color rgb="FF00B050"/>
        <rFont val="Arial"/>
        <family val="2"/>
      </rPr>
      <t xml:space="preserve"> </t>
    </r>
    <r>
      <rPr>
        <sz val="10"/>
        <rFont val="Arial"/>
        <family val="2"/>
      </rPr>
      <t xml:space="preserve">Tällaiset erikseen hyväksytyt verkot tai järjestelmät jakautuvat yleisimmin neljään käyttötilanteeseen: 
A. Tiedonsiirtojärjestelmät
Turvallisuusluokan III järjestelmä/verkko voi olla tiedonsiirtojärjestelmä kahden tai useamman fyysisen pisteen välillä. Tällöin jokaisen kytketyn pisteen tulisi olla turvallisuustasoltaan vastaavalla tasolla. Verkkotason rajapinta on useimmiten muotoa [fyysisesti eristetty verkko/työasema] - [palomuurilaitteisto/-ohjelmisto] – [turvallisuusluokalle hyväksytty salauslaite] - [palomuurilaitteisto/-ohjelmisto] - [Internet] – [palomuurilaitteisto/-ohjelmisto] - [turvallisuusluokalle hyväksytty salauslaite] - [palomuurilaitteisto/-ohjelmisto] - [fyysisesti eristetty verkko/työasema]. Vastaavilla järjestelyillä voidaan toteuttaa myös turvallisuusluokan II mukainen ratkaisu.
B. Palvelujärjestelmät
Turvallisuusluokan III järjestelmä/verkko voi olla esimerkiksi tietokantapalvelu, jota käytetään useasta fyysisestä pisteestä. Verkkotason rajapinta on tällöin vastaava kuin käyttötilanne A:ssa.
C. Yhdyskäytäväratkaisut 
C1. Turvallisuusluokan III tiedon käsittely-ympäristöön voidaan siirtää tietoa alemman turvallisuusluokan ympäristöstä yksisuuntaisen liikenteen sallivan yhdyskäytäväratkaisun (esim. datadiodi) kautta. Vastaavilla järjestelyillä voidaan toteuttaa myös turvallisuusluokan II mukainen ratkaisu. Turvallisuusluokkien IV ja III väliseen liikennöintiin voidaan hyödyntää myös alkiotunnistukseen perustuvaa sisältösuodatusratkaisua (Vrt. kohta C2 alla).
C2. Turvallisuusluokan III tiedon käsittely-ympäristöstä voidaan siirtää matalamman turvallisuusluokan tietoa matalamman turvallisuusluokan ympäristöön alkiotunnistukseen perustuvan sisältösuodatusratkaisun kautta. Sisältösuodatusratkaisun käyttö edellyttää tiedon tunnistamista ylemmän tason ympäristössä, ja vain matalamman tason tiedon siirtymisen sallimista ylemmän turvallisuusluokan ympäristöstä matalamman tason ympäristöön.
D. Muut käsittely-ympäristöt
Muut turvallisuusluokan III käsittely-ympäristöt ovat yleisimmin organisaation tuotekehitysverkkoja tai muita turvallisuusluokan III tiedon käsittely-ympäristöjä. Tällaisiin järjestelmiin voidaan kytkeä esimerkiksi vain tätä ympäristöä palveleva päivityspalvelin. Päivityspalvelimelta voidaan sallia keskitetty turvapäivitysten ja haittaohjelmatunnisteiden jakelu tietyin rajauksin. Jaeltavat päivitykset ja tunnistekannat voidaan tuoda päivityspalvelimelle ilmaraon yli, tai vaihtoehtoisesti esimerkiksi datadiodin läpi.
</t>
    </r>
  </si>
  <si>
    <t xml:space="preserve">TLA 11 § 1 mom 1 ja 2 k
</t>
  </si>
  <si>
    <t>TEK-04</t>
  </si>
  <si>
    <t>TEK-01.6</t>
  </si>
  <si>
    <t>Verkon rakenteellinen turvallisuus - TL II käsittely</t>
  </si>
  <si>
    <t xml:space="preserve">Turvallisuusluokan II käsittely-ympäristöt ovat lähtökohtaisesti fyysisesti eristettyjä kokonaisuuksia.
</t>
  </si>
  <si>
    <t xml:space="preserve">Turvallisuusluokan ylittävä liikennöinti voidaan sallia vain datadiodien tai vastaavien OSI-mallin fyysisellä kerroksella toimivien yksisuuntaisten yhdyskäytäväratkaisujen kautta.
</t>
  </si>
  <si>
    <t>TLA 11 § 1 mom 1 ja 2 k</t>
  </si>
  <si>
    <t>TEK-01.7</t>
  </si>
  <si>
    <t>Verkon rakenteellinen turvallisuus - TL I käsittely</t>
  </si>
  <si>
    <t xml:space="preserve">Lähtökohtaisesti turvallisuusluokan I tietojenkäsittely-ympäristöt suositellaan pidettäväksi fyysisesti eriytettyinä kaikista muista ympäristöistä. Tyypillisenä toteutustapana on fyysisellä turva-alueella, hajasäteilysuojatussa tilassa tapahtuva kaikista muista ympäristöistä fyysisesti eriytetty tietojenkäsittely tähän tarkoitukseen varatulla päätelaitteella. Toteutustapana voi olla myös vastaavasti turva-alueella hajasäteilysuojattuun tilaan fyysisesti sijoitettu ja muista ympäristöistä fyysisesti eriytetty päätelaitteista, niitä yhdistävästä paikallisesta verkosta ja tähän tarkoitukseen varatusta erillistulostimesta koostuva tietojenkäsittely-ympäristö.
Tiedonsiirto fyysisesti eriytettyihin ympäristöihin tulee toteuttaa siten, että riski turvallisuusluokan I tiedon kulkeutumiseen matalamman turvallisuusluokan ympäristöön saatetaan mahdollisimman pieneksi. Tyypillisenä toteutustapana on kertakäyttöisten optisten medioiden hyödyntäminen tiedonsiirroissa matalamman turvallisuusluokan ympäristöstä ylemmän turvallisuusluokan ympäristöön.
Mikäli turvallisuusluokan I tietojenkäsittely-ympäristö on toiminnallisten tarpeiden näkökulmasta ehdottoman välttämätöntä yhdistää matalamman turvallisuusluokan ympäristöön, tulisi yhdistäminen tapahtua turvallisuusluokalle I hyväksytyn yhdyskäytäväratkaisun kautta. Turvallisuusluokan I tietojenkäsittely-ympäristöjen erotteluun hyväksyttyjä yhdyskäytäväratkaisuja on saatavilla rajoitetusti, keskittyen tyypillisesti vain yksisuuntaisen liikennöinnin (TL II --&gt; TL I) mahdollistavien datadiodiratkaisujen moniportaisiin ratkaisumalleihin. Yhdyskäytäväratkaisuja on kuvattu yksityiskohtaisemmin Kyberturvallisuuskeskuksen yhdyskäytäväratkaisuohjeessa.
</t>
  </si>
  <si>
    <t>TEK-02</t>
  </si>
  <si>
    <t>Tietoliikenne-verkon vyöhykkeistäminen</t>
  </si>
  <si>
    <t xml:space="preserve">Tietoliikenneverkon vyöhykkeistäminen ja suodatussäännöstöt on toteutettava monitasoisen suojaamisen periaatteen mukaisesti.
</t>
  </si>
  <si>
    <t xml:space="preserve">Tietoliikenneverkon jakaminen ko. turvallisuusluokan sisällä erillisille verkkoalueille (vyöhykkeet ja segmentit) voi tarkoittaa esimerkiksi tietojen suojaamisen näkökulmasta tarkoituksenmukaista työasema- ja palvelinerottelua, kattaen myös mahdolliset hankekohtaiset erottelutarpeet.
Kaikkia liitettyjä tietotekniikkajärjestelmiä tulisi lähtökohtaisesti käsitellä epäluotettavina ja varautua yleisiin verkkohyökkäyksiin. Yleisiin verkkohyökkäyksiin varautumiseen sisältyy esimerkiksi vain tarpeellisten toiminnallisuuksien pitäminen päällä. Toisin sanoen jokaiselle päällä olevalle toiminnallisuudelle tulisi olla perusteltu toiminnallinen tarve. Toiminnallisuus tulisi rajata suppeimpaan toiminnalliset vaatimukset täyttävään osajoukkoon (esimerkiksi toiminnallisuuksien näkyvyyden rajaus). Lisäksi tulisi ottaa huomioon esimerkiksi osoitteiden väärentämisen (spoofing) estäminen ja verkkojen näkyvyyden rajaaminen.
</t>
  </si>
  <si>
    <t xml:space="preserve">Vaatimus voidaan täyttää siten, että toteutetaan alla mainitut toimenpiteet:
1) Tietoliikenneverkko on jaettu ko. turvallisuusluokan sisällä erillisiin verkko-alueisiin (vyöhykkeet, segmentit).
2) Verkkoalueiden välistä liikennettä rajoitetaan ja ympäristöön sisäänpäin tulevaan liikenteeseen noudatetaan default-deny sääntöä.
3) Tietojenkäsittely-ympäristössä on varauduttu yleisiin verkkohyökkäyksiin.
</t>
  </si>
  <si>
    <t xml:space="preserve">TihL 13 § 1 mom; TLA 11 § 1 mom 1 ja 2 k
</t>
  </si>
  <si>
    <t xml:space="preserve">ISO/IEC 27002:2022 8.20, 8.21, 8.22, 8.23; PiTuKri TT-01, TT-02
</t>
  </si>
  <si>
    <t>I-02</t>
  </si>
  <si>
    <t>TEK-02.1</t>
  </si>
  <si>
    <t>Tietoliikenne-verkon vyöhykkeistäminen - vähimpien oikeuksien periaate</t>
  </si>
  <si>
    <t xml:space="preserve">Tietoliikenneverkon vyöhykkeistäminen ja suodatussäännöstöt on toteutettava vähimpien oikeuksien periaatteen mukaisesti ko. turvaluokan sisällä.
</t>
  </si>
  <si>
    <t xml:space="preserve">Verkkoalueiden välisen liikenteen valvonnan ja rajoittamisen voi toteuttaa turvallisuusluokan IV verkon ulkorajalla esimerkiksi siten, että kaikki sisäänpäin tulevat yhteydenavausyritykset estetään ja ulospäin lähtevät yhteydet rajataan vain välityspalvelimen kautta tulevaan web-selailuun sekä sähköpostiliikenteeseen. Kaikkien turvallisuusluokkien verkoissa riittävä vähimpien oikeuksien periaatteen huomiointi edellyttää tyypillisesti myös sitä, että turvallisuusluokan sisällä eri verkkoalueiden välillä sallitaan vain tarpeelliset yhteydet (lähde-kohde-protokolla) ja että muut yhteysyritykset havaitaan. Kyseisen luokan ympäristön sisällä suojauksia voidaan täydentää ja tukea myös niin sanotulla Zero Trust -lähestymistavalla, jossa eri toimijoiden toimintamahdollisuuksia voidaan rajoittaa ja valvoa erityisesti toimijoiden ja toiminteiden tunnistamiseen ja todentamiseen pohjautuen. Tulee kuitenkin huomioida, että Zero Trust -lähestymistapa ei korvaa eri suojaustarpeen/luokan tietojenkäsittely-ympäristöjen riittävän luotettavan erottelun vaatimusta (vrt. TEK-01.3 ja TEK-01.5). Zero Trust -lähestymistavan toteuttamisessa keskeisessä roolissa on tietojenkäsittely-ympäristön toimijoiden (käyttäjien ja laitteiden) tunnistaminen ja todentaminen, sekä riittävä salaaminen toimijoiden välisessä tietoliikenteessä.
Kytkentöjen ja konfiguraatioiden turvallisesta toiminnasta tulee varmistua säännöllisesti, vrt. TEK-03. Turvallisuusluokalla IV tulisi myös ottaa huomioon palvelunestohyökkäyksen uhka, mikäli järjestelmä liitetään ei-luotettuun verkkoon. Suodatusten tulisi perustua vähimpien oikeuksien periaatteeseen ja suodatuksen tulisi sallia vain erikseen hyväksytty liikennöinti (default-deny). Suodatuksissa tulisi huomioida myös eri protokollien (esim. IPv4, IPv6, GRE, IPSec-tunnelit, reititysprotokollat, sekä myös ylempien kerrosten protokollat, esim. HTTP, SSH, FTP ja SMTP) toiminnallisuudet. Tarpeettomat protokollat tulisi poistaa käytöstä kaikista sellaisista järjestelmistä (työasemat, palvelimet, verkkolaitteet, jne.), joissa niille ei ole todellista käyttöperustetta, ja varmistettava liikennöinnin estyminen (verkko-, työasema- ja palvelintason) palomuurien suodatussäännöillä. Mikäli työasemissa, palvelimissa, verkkolaitteissa tai muissa vastaavissa järjestelmissä käytetään esimerkiksi IPv6-toiminnallisuutta, tulisi ottaa huomioon sen vaikutukset erityisesti liikenteen suodatukseen (palomuurauksen tulisi kattaa myös IPv6-liikenne) sekä reititykseen. Myös eri protokollien yhdistämis- ja yhteiskäyttöratkaisujen (esim. IPv4-IPv6-toteutukset, NAT-64, Teredo) vaikutukset tulisi ottaa huomioon verkon/järjestelmien turvallisuuden kokonaissuunnittelussa.
</t>
  </si>
  <si>
    <t xml:space="preserve">Turvallisuusluokkien IV-II käsittely-ympäristöissä vaatimus voidaan täyttää siten, että toteutetaan aiemmin mainittujen toimenpiteiden lisäksi:
4) Verkko-alueiden välistä liikennettä valvotaan ja rajoitetaan siten, että vain erikseen hyväksytty, toiminnalle välttämätön liikennöinti sallitaan (default-deny).
</t>
  </si>
  <si>
    <t>TEK-03</t>
  </si>
  <si>
    <t>Suodatus- ja valvontajärjestelmien hallinnointi</t>
  </si>
  <si>
    <t xml:space="preserve">Suodatus- ja valvontajärjestelmien tarkoituksenmukaisesta toiminnasta huolehditaan koko tietojenkäsittely-ympäristön elinkaaren ajan.
</t>
  </si>
  <si>
    <t xml:space="preserve">Liikennettä suodattavia ja/tai valvovia järjestelmiä ovat tyypillisesti palomuurit, reitittimet, IDS- ja IPS-järjestelmät sekä vastaavia toiminnallisuuksia sisältävät verkkolaitteet, palvelimet ja sovellukset.
Riittävän dokumentaation toteutus edellyttää yleensä esimerkiksi verkkorakenteen kuvaamista verkkoalueineen (vyöhykkeet ja segmentit) sillä tarkkuudella, että dokumentaation pohjalta voidaan tarkastaa verkon vastaavan dokumentoitua, riittävän turvallista rakennetta.
Käytettävyyden ja riittävän dokumentoinnin varmistamisen kannalta tarkoituksenmukainen ratkaisu on usein suodatus- ja valvontajärjestelmien asetusten (konfiguraatioiden, ml. esimerkiksi palomuurisäännöstöt) varmuuskopiointi, ja varmuuskopioiden turvallisuusluokan mukainen säilytys.
Asetusten ja halutun toiminnan tarkasteluun hyväksyttävissä oleva tarkastustiheys riippuu erityisesti kohteessa tapahtuvien muutosten tiheydestä ja kohteen laajuudesta. Esimerkiksi organisaation turvallisuusluokan IV tietojenkäsittely-ympäristön palomuurisäännöstöt voivat olla laajoja ja muutoksia voi olla tarve tehdä usein. Tällaisissa ympäristöissä riittävä tarkastustiheys voi olla esimerkiksi vuosineljänneksittäin tai puolivuosittain. Toisaalta sellaisissa suppeissa ympäristöissä, missä suodatussäännöstöihin ei ole tarve tehdä muutoksia kuin hyvin harvoin, voi riittää vuosittaiset tarkastukset. Suodatus- tai valvontaohjelmiston toiminnallisuuksiin voi tulla muutoksia tai uusia ominaisuuksia myös säännöllisesti tehtävissä ohjelmistopäivityksissä. Suodatussäännöstön ja muun toiminnallisuuden oikeellisuus onkin perusteltua varmistaa myös säännöllisesti asennettavien ohjelmistopäivitysten yhteydessä. Uusien ominaisuuksien (esimerkiksi hienojakoisemman suodatuksen) hyödyntämismahdollisuudet ja käyttöönotto tulee arvioida osana muutostenhallintaa (vrt. I-16).
</t>
  </si>
  <si>
    <t>TihL 13 § 1 mom; TLA 11 § 1 mom 2 k</t>
  </si>
  <si>
    <t xml:space="preserve">ISO/IEC 27002:2022 8.21, 8.23
</t>
  </si>
  <si>
    <t>I-03</t>
  </si>
  <si>
    <t>TEK-03.1</t>
  </si>
  <si>
    <t>Suodatus- ja valvontajärjestelmien hallinnointi - vastuutus ja organisointi</t>
  </si>
  <si>
    <t xml:space="preserve">Liikennettä suodattavien tai valvovien järjestelmien asetusten lisääminen, muuttaminen, poistaminen ja valvonta on vastuutettu ja organisoitu.
</t>
  </si>
  <si>
    <t xml:space="preserve">TihL 4 § 2 mom 1 k; TLA 11 § 1 mom 2 k
</t>
  </si>
  <si>
    <t>ISO/IEC 27002:2022 5.35, PiTuKri MH-01</t>
  </si>
  <si>
    <t>I-03, I-16</t>
  </si>
  <si>
    <t>TEK-03.2</t>
  </si>
  <si>
    <t>Suodatus- ja valvontajärjestelmien hallinnointi - dokumentointi</t>
  </si>
  <si>
    <t xml:space="preserve">Verkon ja siihen liittyvien suodatus- ja valvontajärjestelmien dokumentaatiota ylläpidetään sen elinkaaren aikana erottamattomana osana muutosten ja asetusten hallintaprosessia.
</t>
  </si>
  <si>
    <t>TihL 5 § 2 mom; TLA 11 § 1 mom 2 k</t>
  </si>
  <si>
    <t>TEK-03.3</t>
  </si>
  <si>
    <t>Suodatus- ja valvontajärjestelmien hallinnointi - tarkastukset</t>
  </si>
  <si>
    <t xml:space="preserve">Liikennettä suodattavien tai valvovien järjestelmien asetukset ja haluttu toiminta tarkastetaan määräajoin tietojenkäsittely-ympäristön toiminnan ja huollon aikana sekä poikkeuksellisten tilanteiden ilmetessä.
</t>
  </si>
  <si>
    <t>ISO/IEC 27002:2022 8.32</t>
  </si>
  <si>
    <t>Hallintayhteydet</t>
  </si>
  <si>
    <t xml:space="preserve">Hallintapääsy tapahtuu rajattujen, hallittujen ja valvottujen pisteiden kautta.
</t>
  </si>
  <si>
    <t xml:space="preserve">Laitteilla/liittymillä tarkoitetaan alla kuvatuissa toteutusesimerkeissä järjestelmiä, joihin pitäisi olla hallintaoikeudet vain ylläpitäjillä tai vastaavilla. Tällaisia ovat tyypillisesti esimerkiksi palomuurit, reitittimet, kytkimet, langattomat tukiasemat, palvelimet, työasemat, erilliset konsoliliittymät (esim. iLO, iDrac) ja Blade-runkojen hallintaliittymät. 
Hallintayhteyksien suojausten arvioinnissa tulisi huomioida erityisesti se, miltä osin ko. hallintayhteyden kautta pystytään vaarantamaan salassa pidettävät tiedot. Useimmat hallintayhteystavat mahdollistavat pääsyn salassa pidettävään tietoon joko suoraan (esimerkiksi tietokantaylläpito pääsee yleensä tarvittaessa tietokannan sisältöön) tai epäsuoraan (esimerkiksi verkkolaiteylläpito pystyy yleensä muuttamaan tietojärjestelmää suojaavia palomuurisääntöjä), mikä tekee näistä erityisen houkuttelevan kohteen myös pahantahtoisille toimijoille. Erityisesti tilanteissa, joissa hallintayhteys mahdollistaa suoran tai epäsuoran pääsyn turvallisuusluokiteltuun tietoon, tulisi hallintayhteys ja siihen käytettävät päätelaitteet rajata lähtökohtaisesti samalle turvallisuusluokalle, kuin mitä ko. tietojenkäsittely-ympäristökin.
Matalamman tason ympäristön hallinta voi tietyissä erityistapauksissa olla mahdollista ylemmän turvallisuusluokan hallintaympäristöstä käsin, edellyttäen, että turvallisuusluokkien rajoilla on riittävän turvallinen yhdyskäytäväratkaisu, joka estää ylemmän turvallisuusluokan tietojen kulkeutumisen matalamman turvallisuusluokan ympäristöön. Erityisesti yhteysprotokollien ohjelmistohaavoittuvuuksista johtuen matalamman tason ympäristöjen hallintamahdollisuudet rajautuvat riskiperusteisesti tyypillisesti vain turvallisuusluokan IV ympäristöistä tapahtuvaan matalamman tason ympäristöjen hallintaan. Ylemmän turvallisuusluokan ympäristön hallinta ei lähtökohtaisesti ole hallintaliikenteen turvallisuuskriittisestä luonteesta johtuen mahdollista matalamman turvallisuusluokan ympäristöistä. Ylemmän turvallisuusluokan ympäristöstä voidaan riittävän turvallisen yhdyskäytäväratkaisun kautta tarjota joissain tapauksessa (read-only) valvontapääsy luokkaa matalamman turvallisuusluokan ympäristöön.
Riittävän jäljitettävyyden toteuttamisessa voidaan hyödyntää ko. turvallisuusluokan sisällä esimerkiksi niin sanottua hyppykonekäytäntöä, jossa kaikki hallintatoimet toteutetaan äärimmilleen kovennettujen, järjestelmä- ja roolikohtaisten hyppykoneiden kautta mahdollistaen samalla kattavan jäljitettävyyden (lokituksen, vrt. TEK-12). 
Huomioitavaa erityisesti pilviteknologiaa hyödyntävissä toteutuksissa:
- Pilvipalveluympäristöissä etähallinta on yleensä tyypillisin hallintamenettely sekä itse pilvipalvelualustan, että asiakkaan järjestelmien osalta. Etähallinnaksi tulkitaan esimerkiksi pilvipalveluntarjoajan ylläpitotoimet, jotka tapahtuvat fyysisesti suojatun konesaliympäristön ulkopuolelta käsin. Etähallinnaksi tulkitaan myös pilvipalvelun asiakkaan, omalle vastuulleen kuuluvaan järjestelmäosaan kohdistuvat ylläpitotoimet.
- Hallintayhteyksien suojausten arvioinnissa tulisi huomioida erityisesti se, miltä osin ko. hallintayhteyden kautta pystytään vaarantamaan pilvipalvelussa käsiteltävät tiedot. Useimmat hallintayhteystavat mahdollistavat pääsyn tietoon joko suoraan (esimerkiksi tietokantaylläpito pääsee yleensä tarvittaessa tietokannan sisältöön) tai epäsuoraan (esimerkiksi verkkolaiteylläpito pystyy yleensä muuttamaan tietojärjestelmää suojaavia palomuurisääntöjä). Hallintayhteyksiin tulkitaan kuuluvaksi lähtökohtaisesti kaikki yhteystavat, joilla on mahdollista vaikuttaa salassa pidettävien tietojen suojauksiin. Hallintayhteyksiin kuuluvat tyypillisesti myös pilvipalvelun asiakkaalle tarjottavat web-konsolit/-portaalit ja vastaavat etähallintayhteydet.
- Erityisesti tilanteissa, joissa hallintayhteys mahdollistaa suoran tai epäsuoran pääsyn salassa pidettävään tietoon, tulee hallintayhteys ja siihen käytettävät päätelaitteet rajata lähtökohtaisesti samalle suojaus-/turvatasolle, kuin mitä ko. tietojenkäsittely-ympäristökin. Turvallisuusluokitellun tiedon käsittelyyn käytetyn ympäristön hallinta ei lähtökohtaisesti ole hallintaliikenteen turvallisuuskriittisestä luonteesta johtuen mahdollista heikommin suojatuista ympäristöistä tai päätelaitteistä käsin. Turvallisuusluokiteltua tietoa sisältävän pilvipalvelualustan hallinnointi tuleekin rajata kyseisen turvallisuusluokan vaatimukset täyttäviin päätelaitteisiin. Huomioitava, että myös päätelaitteiden hallinnointiratkaisujen ja muiden niihin kytkeytyvien taustajärjestelmien tulee täyttää kyseisen turvallisuusluokan vaatimukset, kuten myös fyysiset tilat/alueet, joista hallintaa suoritaan.
- Asiakkaan vastuulla olevan osuuden arvioinnissa suositellaan huomioitavaksi erityisesti, että vastaavat vaatimukset koskevat myös asiakasta ja asiakkaan osuuteen liittyviä mahdollisia palveluntarjoajia.
</t>
  </si>
  <si>
    <t xml:space="preserve">Rajattu pääsy tulee toteuttaa esimerkiksi hyppykoneiden, hallintaportaalien ja vastaavien menettelyiden kautta.
</t>
  </si>
  <si>
    <t>TihL 13 § 1 mom, 14 § 1 mom; TLA 11 § 1 mom</t>
  </si>
  <si>
    <t xml:space="preserve">Traficom: Ohje yhdyskäytäväratkaisujen suunnitteluperiaatteista ja ratkaisumalleista (2.12.2021); ISO/IEC 27002:2022 8.2, 8.20, 8.21, 8.22; PiTuKri IP-03, TT-01
</t>
  </si>
  <si>
    <t>TEK-12</t>
  </si>
  <si>
    <t>I-04</t>
  </si>
  <si>
    <t>TEK-04.1</t>
  </si>
  <si>
    <t>Hallintayhteydet - vahva tunnistaminen julkisessa verkossa</t>
  </si>
  <si>
    <t xml:space="preserve">Hallintapääsyn julkisesta verkosta tai muun käytettävän etähallintaratkaisun tulee edellyttää vahvaa, vähintään kahteen todennustekijään pohjautuvaa käyttäjätunnistusta.
</t>
  </si>
  <si>
    <t xml:space="preserve">Hallintayhteyksien suojaus on eräs kriittisimmistä tietojärjestelmien turvallisuuteen vaikuttavista tekijöistä. Erityisesti turvallisuusluokittelemattomia salassa pidettäviä sekä turvallisuusluokan IV järjestelmiä voi kuitenkin olla perusteltua pystyä hallinnoimaan myös fyysisesti suojattujen turvallisuusalueiden ulkopuolelta. Tilanteissa, joissa etähallinta nähdään perustelluksi, suositellaan se suojattavan etäkäyttöä kattavammilla turvatoimilla. Esimerkiksi turvallisuusluokan IV järjestelmän etähallintayhteydet voidaan rajata yksittäisiin fyysisiin ja loogisiin pisteisiin. 
</t>
  </si>
  <si>
    <t xml:space="preserve">Hallintayhteydet julkisesta verkosta edellyttävät esimerkiksi VPN-yhteyden muodostamista, jossa vähintään joko käyttäjä tai laite tunnistetaan vahvasti.
</t>
  </si>
  <si>
    <t xml:space="preserve">TihL 13 § 1 mom; TLA 11 § 1 mom 5 k
</t>
  </si>
  <si>
    <t>ISO/IEC 27002:2022 8.2; PiTuKri IP-03</t>
  </si>
  <si>
    <t>TEK-04.2</t>
  </si>
  <si>
    <t>Hallintayhteydet - hallintayhteyksen salaaminen</t>
  </si>
  <si>
    <t xml:space="preserve">Hallintaliikenne julkisessa verkossa on salattua käyttötilanteeseen soveltuvalla menetelmällä, suosien oikeellisen toiminnan osalta varmistettuja (validoituja) ja standardoituja salausratkaisuja/-protokollia.
</t>
  </si>
  <si>
    <t>TihL 13 § 1 mom;
TLA 11 § 1 mom 4 ja 7 k</t>
  </si>
  <si>
    <t>TEK-04.3</t>
  </si>
  <si>
    <t>Hallintayhteydet - vähimmät oikeudet</t>
  </si>
  <si>
    <t xml:space="preserve">Hallintayhteydet on rajattu vähimpien oikeuksien periaatteen mukaisesti.
</t>
  </si>
  <si>
    <t xml:space="preserve">TihL 16 §; TLA 11 § 1 mom 3 k
</t>
  </si>
  <si>
    <t>ISO/IEC 27002:2022 8.20</t>
  </si>
  <si>
    <t>HAL-2.1</t>
  </si>
  <si>
    <t>TEK-04.4</t>
  </si>
  <si>
    <t>Hallintayhteydet - henkilökohtaiset tunnukset</t>
  </si>
  <si>
    <t xml:space="preserve">Järjestelmien ja sovellusten ylläpitotunnukset ovat henkilökohtaisia.
</t>
  </si>
  <si>
    <t xml:space="preserve">Mikäli henkilökohtaisten tunnusten käyttäminen ei kaikissa järjestelmissä tai sovelluksissa ole teknisesti mahdollista, edellytetään sovitut, dokumentoidut ja käyttäjän yksilöinnin mahdollistavat hallintakäytännöt yhteiskäyttöisille tunnuksille.
</t>
  </si>
  <si>
    <t>TihL 13 § 1 mom, 16 §; TLA 11 § 1 mom 3 ja 5 k</t>
  </si>
  <si>
    <t>PiTuKri IP-02</t>
  </si>
  <si>
    <t>TEK-04.5</t>
  </si>
  <si>
    <t>Hallintayhteydet - yhteyksien rajaaminen turvallisuusluokittain</t>
  </si>
  <si>
    <t xml:space="preserve">Hallintayhteydet on rajattu turvallisuusluokittain, ellei käytössä ole turvallisuusluokka huomioon ottaen riittävän turvallista yhdyskäytäväratkaisua.
</t>
  </si>
  <si>
    <t xml:space="preserve">Tietojenkäsittely-ympäristöön ei ole yhteenliitäntää hallintayhteyksille muiden turvallisuusluokkien ympäristöistä ilman turvallisuusluokan huomioon ottaen riittävän turvallista yhdyskäytäväratkaisua.
</t>
  </si>
  <si>
    <t xml:space="preserve">TLA 11 § 1 mom 1 k
</t>
  </si>
  <si>
    <t>TEK-04.6</t>
  </si>
  <si>
    <t>Hallintayhteydet - turvallisuusluokiteltua tietoa sisältävät hallintayhteydet</t>
  </si>
  <si>
    <t xml:space="preserve">Hallintaliikenteen sisältäessä turvallisuusluokiteltua tietoa ja kulkiessa matalamman turvallisuusluokan ympäristön kautta, turvallisuusluokitellut tiedot on salattu riittävän turvallisella salaustuotteella.
</t>
  </si>
  <si>
    <t xml:space="preserve">Ko. turvallisuusluokan hallintatyöasema kytketään laitteeseen/liittymään vain riittävän turvallisen salausratkaisun kautta tilanteissa, joissa hallintaliikenne kulkee matalamman turvallisuusluokan ympäristön kautta.
</t>
  </si>
  <si>
    <t>I-04, I-12</t>
  </si>
  <si>
    <t>TEK-04.7</t>
  </si>
  <si>
    <t>Hallintayhteydet - salaaminen turvallisuusluokan sisällä</t>
  </si>
  <si>
    <t xml:space="preserve">Hallintaliikenteen kulkiessa ko. turvallisuusluokan sisällä, alemman tason salausta tai salaamatonta siirtoa voidaan käyttää riskinhallintaprosessin tulosten perusteella.
</t>
  </si>
  <si>
    <t xml:space="preserve">Tilanteissa, joissa hallintaliikenne kulkee ko. turvallisuusluokan sisällä (ko. turvallisuusluokalle riittävän salauksen sisällä tai/ja ko. turvallisuusluokan tiedon säilyttämiseen hyväksytyn turvallisuusalueen sisällä muista ympäristöistä fyysisesti eriytetyn verkon sisällä),
a) ko. turvallisuusluokan hallintatyöasema kytketään laitteeseen/liittymään fyysisesti (esim. konsolikaapeli), tai
b) ko. turvallisuusluokan hallintayhteyden liikennekanava on muuten luotettavasti fyysisesti suojattu (esim. turva-alueen sisäiset kaapeloinnit), tai
c) ko. turvallisuusluokan hallintatyöasema kytketään laitteeseen/liittymään matalamman tason salauksella (esim. SSH, HTTPS, SCP) suojatulla yhteydellä.
4) Laitteisiin/liittymiin sallitaan hallintayhteydenotot vähimpien oikeuksien periaatteen mukaisesti vain hyväksytyistä lähteistä ja määritellyin käyttäjäoikeuksin.
</t>
  </si>
  <si>
    <t xml:space="preserve">TihL 14 §; TLA 11 § 1 mom 7 k, 12 §
</t>
  </si>
  <si>
    <t>TEK-04.8</t>
  </si>
  <si>
    <t>Hallintayhteydet - TL III</t>
  </si>
  <si>
    <t xml:space="preserve">Turvallisuusluokan III käsittely-ympäristöjen etähallinta tulee suorittaa turva-alueelta
</t>
  </si>
  <si>
    <t xml:space="preserve">Turvallisuusluokan III sekä muissa kriittisissä käsittely-ympäristöissä edellytetään etähallinnan teknistä sitomista hyväksyttyyn etähallintalaitteistoon (esim. laitetunnistus).
</t>
  </si>
  <si>
    <t xml:space="preserve">Etähallinta on estetty teknisesti muita kuin hyväksyttyjä laitteita käyttäen.
</t>
  </si>
  <si>
    <t>TLA 10 § 3 mom 1 k</t>
  </si>
  <si>
    <t>I-18</t>
  </si>
  <si>
    <t>TEK-05</t>
  </si>
  <si>
    <t>Langaton tiedonsiirto</t>
  </si>
  <si>
    <t xml:space="preserve">Langattomassa tiedonsiirrossa tietoliikenne salataan salausratkaisulla, jossa ei ole tunnettuja haavoittuvuuksia ja jotka tukevat valmistajalta saatujen tietojen mukaan moderneja salausvahvuuksia ja -asetuksia.
</t>
  </si>
  <si>
    <t xml:space="preserve">Radiorajapinnan käyttö langattomassa tiedonsiirrossa (esim. WLAN, Bluetooth) tulkitaan poistumiseksi fyysisesti suojatun alueen ulkopuolelle. Toisin sanoen radiorajapinnan käyttö rinnastetaan yleisen verkon kautta liikennöinniksi, mikä tulisi ottaa huomioon erityisesti liikenteen salauksessa ja fyysisen turvallisuuden toteuttamisessa. Useisiin langattomiin rajapintoihin liittyy myös protokolla- ja ohjelmistototeutusten puutteita, jotka voivat olla ulkopuolisten hyödynnettävissä.
Vastaavaa suojausperiaatetta sovelletaan myös langattomiin oheislaitteisiin (esimerkiksi hiiret, näppäimistöt, kuulokkeet ja kuvansiirtojärjestelmät). Poikkeuksena tilanteet, joilla langattoman rajapinnan käyttöön liittyviä riskejä pystytään luotettavasti pienentämään fyysisen turvallisuuden menettelyillä (esimerkiksi langattoman hiiren käyttö turva-alueen sisällä huoneessa, jonka läheisyyteen pääsy on rajattu vain ko. käsiteltävään tietoon valtuutetuilla henkilöillä). Langattomista laitteista on huomioitava myös älypuhelimet ja vastaavat matalamman turvallisuustason laitteistot, joita ei tule kytkeä tietojenkäsittely-ympäristöön esimerkiksi akun lataamista varten. 
Käytettävissä tuotteissa ja algoritmeissä ei saa olla tunnettuja korjaamattomia haavoittuvuuksia ja heikkouksia, jotka vaarantavat tietoturvallisuuden. Lisäksi käytettävien tuotteiden valmistajan tulee tarjota tuotteille tietoturvapäivityksiä.
</t>
  </si>
  <si>
    <t xml:space="preserve">1) Fyysisesti suojatun alueen ulkopuolelle kantautuva langaton tiedonsiirto salataan vaatimuksen mukaisesti.
2) Fyysisesti suojatun sisällä tapahtuvan vaatimuksia heikommin suojattu langaton tiedonsiirto (esim. langattomat oheislaitteet) voidaan hyväksyä, mikäli voidaan varmistua, että tiedon luottamuksellisuus ei vaarannu näiden yhteyksien kautta. 
3) Langattomia yhteyksiä sisältäviä matalamman turvallisuustason laitteita ei liitetä ympäristöön.
</t>
  </si>
  <si>
    <t xml:space="preserve">PiTuKri SA-01; ISO/IEC 27002:2022 8.22
</t>
  </si>
  <si>
    <t>I-05, I-08, I-09, I-12, I-15, I-16</t>
  </si>
  <si>
    <t>TEK-05.1</t>
  </si>
  <si>
    <t>Langaton tiedonsiirto - salaaminen</t>
  </si>
  <si>
    <t xml:space="preserve">Langattomassa tiedonsiirrossa tietoliikenne salataan kyseiselle turvaluokalle riittävän turvallisella salausratkaisulla.
</t>
  </si>
  <si>
    <t xml:space="preserve">
</t>
  </si>
  <si>
    <t>TL IV -tasolla vaatimus voidaan toteuttaa esimerkiksi tunneloimalla liikenne riittävän turvallisella VPN-ratkaisulla tai käyttämällä hyväksyttyä sovellustason salausratkaisua.</t>
  </si>
  <si>
    <t xml:space="preserve">TihL 14 §;
TLA 11 § 1 mom 7 k, 12 §
</t>
  </si>
  <si>
    <t xml:space="preserve">ISO/IEC 27002:2022 8.24; PiTuKri SA-01
</t>
  </si>
  <si>
    <t>I-05</t>
  </si>
  <si>
    <t>Tietojärjestelmäturvallisuus</t>
  </si>
  <si>
    <t>TEK-06</t>
  </si>
  <si>
    <t>Kasautumisvaikutus</t>
  </si>
  <si>
    <t xml:space="preserve">Kasautumisvaikutus on huomioitu tietojenkäsittely-ympäristön suojaamisessa.
</t>
  </si>
  <si>
    <t xml:space="preserve">Kun kohteen keskeisen tietovarannon turvallisuusluokka tulkitaan kasautumisvaikutuksesta johtuen yksittäisten tietoalkioiden tasoa korkeammaksi, tulee tietovarannon määritellyt suojausmenetelmät toteuttaa korkeamman tason vaatimusten mukaisesti. Määritellyillä suojausmenetelmillä tarkoitetaan menetelmiä, joilla rajataan pääsy vain tehtävässä tarvittavaan yksittäiseen tai suppeaan osaan tietosisällöstä, ja joilla yritykset päästä valtuuttamattomasti laajempaan osaan tietosisällöstä havaitaan. Kun arviointityökaluna käytetään Julkria, tulisi kasautumisvaikutus tulkita siten, että tietovarannon suojauksilta edellytetään korkeamman tason mukaisena tietovarannon fyysisen turvallisuuden lisäksi kohtia TEK-14 (sovelluskerroksen turvallisuus), TEK-12 ja TEK-13 (jäljitettävyys ja havainnointikyky), HAL-02.1 (Tehtävät ja vastuut - tehtävien eriyttäminen) sekä TEK-07 (Pääsyoikeuksien hallinnointi). Onkin huomioitava, että kasautumisvaikutuksen seurauksena yhdellä luokalla noussut tietovarannon turvallisuusluokka ei edellytä hyväksyttävää yhdyskäytäväratkaisua tietovarannon (esim. TL III) ja päätelaitteiden (esim. TL IV) välille. Kasautumisvaikutuksen seurauksena turvallisuusluokan III tietovarantojen hallintaratkaisuissa tulee lisäksi erityisesti huomioida, että hallintaan käytettävät päätelaitteet ovat luotettavasti eroteltuja Internet-kytkentäisistä verkoista.
</t>
  </si>
  <si>
    <t xml:space="preserve">TihL 15 § 2 mom, 13 § 1 mom
</t>
  </si>
  <si>
    <t xml:space="preserve">ISO/IEC 27002:2022 5.3, 5.15, 5.16, 5.17, 5.18, 8.2; PiTuKri IP-01
</t>
  </si>
  <si>
    <t>TEK-07</t>
  </si>
  <si>
    <t>Pääsyoikeuksien hallinnointi</t>
  </si>
  <si>
    <t xml:space="preserve">Tietojärjestelmien käyttöoikeudet on määritelty.
</t>
  </si>
  <si>
    <t xml:space="preserve">Käyttöoikeuksien hallinnan keskeinen tavoite on pystyä varmistumaan siitä, että vain oikeutetuilla käyttäjillä on pääsy tietojenkäsittely-ympäristöön ja sen sisältämään suojattavaan tietoon.
</t>
  </si>
  <si>
    <t xml:space="preserve">1) Järjestelmien käyttöoikeuksien hallintaan on nimetty vastuuhenkilö(t).
2) Järjestelmän käyttäjistä on olemassa lista.
</t>
  </si>
  <si>
    <t>TihL 16 §;
TLA 8 §, 11 § 1 mom 3 k</t>
  </si>
  <si>
    <t>HAL-14, HAL-14.1, HAL-19</t>
  </si>
  <si>
    <t>TEK-07.1</t>
  </si>
  <si>
    <t>Pääsyoikeuksien hallinnointi - pääsyoikeuksien myöntäminen</t>
  </si>
  <si>
    <t xml:space="preserve">Tietojärjestelmien käyttöoikeudet voidaan myöntää vain henkilöille, joiden käyttötarpeesta on varmistuttu. 
</t>
  </si>
  <si>
    <t xml:space="preserve">Käyttöoikeuksien taustalla on suositeltavaa olla jokin sopimus tai muu dokumentoitu peruste, joka voidaan todentaa (esim. työsuhde, sopimus toteutettavasta työstä ympäristössä).
</t>
  </si>
  <si>
    <t xml:space="preserve">3) Käyttöoikeuden myöntämisen yhteydessä tarkistetaan, että oikeuden saaja kuuluu henkilöstöön tai on muutoin oikeutettu.
4) Käyttöoikeuksien käsittely ja myöntäminen on ohjeistettu.
5) Jokaisesta myönnetystä käyttöoikeudesta jää dokumentti (paperi tai sähköinen).
</t>
  </si>
  <si>
    <t xml:space="preserve">TihL 16 §;
TLA 8 §, 11 § 1 mom 3 k
</t>
  </si>
  <si>
    <t>HAL-14, HAL-10.1</t>
  </si>
  <si>
    <t>TEK-07.2</t>
  </si>
  <si>
    <t>Pääsyoikeuksien hallinnointi - pääsyoikeuksien rajaaminen</t>
  </si>
  <si>
    <t xml:space="preserve">Tietojenkäsittely-ympäristön käyttäjille ja automaattisille prosesseille annetaan vain ne tiedot, oikeudet tai valtuutukset, jotka ovat niiden tehtävien suorittamiseksi välttämättömiä.
</t>
  </si>
  <si>
    <t xml:space="preserve">Käyttöoikeudet tulee rajata vain toiminnallisen tarpeen edellyttämään osajoukkoon. Tarpeettoman laajat oikeudet mahdollistavat ko. käyttäjälle, prosessille tai edellä mainitut haltuun saavalle hyökkääjälle tarpeettoman laajat toimintamahdolliset. Käyttöoikeuksien rajaamisella vähimpien oikeuksien periaatteen mukaiseksi voidaan pienentää sekä tahallisten että tahattomien tekojen, kuin myös esimerkiksi haittaohjelmista aiheutuvia riskejä. Erityisesti tulee huomioida, että ylläpito-oikeuksia käytetään vain ylläpitotoimiin. Ylläpitotunnuksella varustettua käyttäjätiliä ei tule käyttää esimerkiksi web-selailuun tai sähköpostin käyttöön.
Turvallisuusluokitellun tiedon omistajat varaavat usein itselleen tarkastusoikeuden kaikkiin verkkoihin tai järjestelmiin, joissa heidän omistamaansa tietoa käsitellään. Tarkastuksissa edellytetään usein fyysistä ja loogista pääsyä tarkastettavaan kohteeseen, ja siten tarkastajilla on usein teknisesti mahdollisuus päästä myös kohteessa käsiteltävään tietoon. Erityisesti monihankeverkoissa ja muissa vastaavissa ympäristöissä, joissa on tarve käsitellä useamman eri omistajan tietoa, tulisi varmistua siitä, että verkon tai järjestelmän rakenne mahdollistaa tarkastukset siten, että tiedon omistajat eivät pääse käsiksi toistensa tietoihin tarkastuksen yhteydessä. Huom. Tietojen erotteluvaatimusta ei turvallisuusluokan IV tiedoille sovelleta työasemiin tai muihin vastaaviin suppeisiin tietovarantoihin, edellyttäen, että käytössä on luotettavaksi arvioidut menetelmät kasautumisvaikutuksen ehkäisemiseksi. Tarkastusoikeuden varaavien tiedon omistajien tietoja ei edellytetä eroteltavan myöskään tilanteissa, joissa kaikilta tiedon omistajilta on saatu kirjallinen erillishyväksyntä tarkastusoikeuden mahdollistamien riskien hyväksymisestä tai jos tietojen omistajat sitoutuvat olemaan käyttämättä teknistä tarkastusoikeutta kyseiseen tietojenkäsittely-ympäristöön. 
Eri omistajien tietojen erottelumenetelmät jakautuvat kolmeen pääluokkaan. 
a) Loogisen tason erotteluun (esim. palvelinten virtualisointi ja käyttöoikeuksin rajoitetut verkkolevykansiot) perustuvat menetelmät soveltuvat turvallisuusluokan IV tiedoille.
b) Luotettavaan loogiseen erotteluun (esim. hyväksytysti salatut virtuaalikoneet levyjärjestelmän asiakaskohtaisesti varatuilla fyysisillä levyillä, ja tiedon tai tietoliikenteen hyväksytty salaus yhteiskäyttöisillä verkkolaitteilla) perustuvat menetelmät soveltuvat turvallisuusluokille IV ja III saman turvallisuusluokan sisäiseen erotteluun.
c) Fyysisen tason erotteluun (tiedonomistajakohtaisesti varatut fyysiset laitteet) perustuvat menetelmät soveltuvat turvallisuusluokille IV, III, II ja I.
Huomioitavaa erityisesti pilviteknologiaa hyödyntävissä toteutuksissa:
- Vaatimuksen soveltamisessa tulee huomioida vastuujako pilvipalveluntarjoajan ja asiakkaan välillä. Tyypillisesti pilvipalveluntarjoaja on vastuussa pilvipalvelun tuottamiseen liittyvän järjestelmäkokonaisuuden käyttöoikeushallinnasta, asiakkaan vastuun koskiessa palveluntarjoajan palvelukokonaisuuden (IaaS, PaaS tai SaaS) päälle rakentuvan osuuden käyttöoikeushallintaa. Asiakkaan vastuulla olevan osuuden arvioinnissa suositellaankin huomioitavaksi erityisesti, että vastaavat vaatimukset koskevat myös asiakasta ja asiakkaan osuuteen liittyviä mahdollisia palveluntarjoajia.
- Erottelun toteuttaminen pilviteknologiaa hyödyntäen, huomioitavaa:
-- Salassa pidettävän tiedon erottelu on toteutettava riittävän luotettavasti, joko loogisen tai/ja fyysisen erottelun menetelmillä. Eräs yleinen käytössä oleva erottelumenetelmä esimerkiksi yhteiskäyttöisten verkkolaitteiden ja tallennusjärjestelmien osalta on salaus. Asiakaskohtaisilla avaimistoilla toteutettavaa tietoliikenteen salausta (data-in-transit) ja salausta tallennettaessa (data-at-rest) voidaan hyödyntää myös muiden turvatavoitteiden, esimerkiksi laitteistojen turvallisen hävittämisen, tukevana suojauksena. 
-- Jos samaa laitteistoa käytetään useiden asiakkaiden tiedon käsittelyyn samanaikaisesti, tulee varmistua siitä, että tietojen fyysinen ja looginen erottelu on riittävän turvallinen. Mikäli asiasta ei saada riittävää varmuutta, tulee tietojen käsittelyyn käyttää erillisiä fyysisiä laitteita. Esimerkiksi turvallisuusluokitellut tiedot voidaan säilyttää fyysisesti erillisellä virtualisointialustalla, jossa esimerkiksi mahdollisiin prosessorihaavoittuvuuksiin liittyvät rajapinnat on rajattu vain turvallisuusluokiteltujen tietojen valtuutettujen käyttäjien saavutettaviksi.
-- Jos samaa laitteistoa käytetään useiden eri asiakkaiden tietojen käsittelyyn, mutta ei samanaikaisesti, tulee varmistua myös siitä, että edellisen asiakkaan tiedot on poistettu riittävän turvallisesti laitteistosta (ml. kaikki osat, BIOS, erilaisten muiden laitteiden välimuistit). Mikäli asiasta ei saada riittävää varmuutta, tulee tietojen käsittelyyn käyttää erillisiä fyysisiä laitteita. Vrt. PiTuKri / SI-02 (Tietoaineistojen tuhoaminen).
-- Turvallisuusluokitellun salassa pidettävän tiedon omistajat voivat varata itselleen tarkastusoikeuden kaikkiin verkkoihin tai järjestelmiin, joissa heidän omistamaansa tietoa käsitellään. Tarkastuksissa edellytetään usein fyysistä ja loogista pääsyä tarkastettavaan kohteeseen, ja siten tarkastajilla on usein teknisesti mahdollisuus päästä myös kohteessa käsiteltävään tietoon. Erityisesti ympäristöissä, joissa on tarve käsitellä useamman eri omistajan tietoa, tulee varmistua siitä, että verkon tai järjestelmän toteutustapa mahdollistaa tarkastukset siten, että tiedon omistajat eivät pääse käsiksi toistensa tietoihin tarkastuksen yhteydessä. Erityisesti palvelumalleilla IaaS ja PaaS, turvallisuusluokitellun tiedon erottaminen tulee varmistaa fyysisesti erillisillä verkoilla tai salatuilla virtuaalisilla tai ohjelmistopohjaisilla paikallisverkoilla. Vrt. PiTuKri / SA-03 (Salaus fyysisesti suojatun turvallisuusalueen sisäpuolella).
</t>
  </si>
  <si>
    <t xml:space="preserve">6) Tietojärjestelmissä turvallisuusluokitellut tiedot on eritelty vähimpien oikeuksien periaatteen mukaisesti käyttöoikeusmäärittelyillä ja järjestelmän käsittelysäännöillä tai jollain vastaavalla menettelyllä.
7) Tietojärjestelmissä tarkastusoikeuden varaavien tiedon omistajien tiedot säilytetään toisistaan ko. turvallisuusluokalle riittävän turvallisella menetelmällä eroteltuna.
</t>
  </si>
  <si>
    <t xml:space="preserve">TihL 13 § 1 mom, 15 § 1 mom 1 k, 16 §;
TLA 8 §, 11 §:n 1 mom 3 ja 4 k
</t>
  </si>
  <si>
    <t xml:space="preserve">ISO/IEC 27002:2022 5.3, 5.15, 5.16, 5.17, 5.18, 8.2; PiTuKri IP-01, SA-03, KT-03
</t>
  </si>
  <si>
    <t>TEK-07.3</t>
  </si>
  <si>
    <t>Pääsyoikeuksien hallinnointi - pääsyoikeuksien ajantasaisuus</t>
  </si>
  <si>
    <t xml:space="preserve">Käyttöoikeudet on pidettävä ajantasaisina.
</t>
  </si>
  <si>
    <t xml:space="preserve">8) On olemassa selkeä ja toimiva tapa henkilöstössä tapahtuvien muutosten ilmoittamiseen välittömästi asiankuuluville tahoille sekä toimiva tapa tarvittavien muutosten tekemiseen.
9) Käyttö- ja pääsyoikeudet katselmoidaan säännöllisesti.
</t>
  </si>
  <si>
    <t xml:space="preserve">TihL 16 §
</t>
  </si>
  <si>
    <t>TEK-07.4</t>
  </si>
  <si>
    <t>Pääsyoikeuksien hallinnointi - turvallisuusluokiteltujen tietojen erottelu</t>
  </si>
  <si>
    <t xml:space="preserve">1) Kunkin turvallisuusluokan tiedot pidetään erillään julkisista ja muiden turvallisuusluokkien tiedoista, tai eri tason tietoja käsitellään korkeimman turvallisuusluokan mukaisesti.
2) Palvelimissa, työasemissa ja muissa tallennusvälineissä turvallisuusluokitellut tiedot säilytetään riittävän turvallisella menetelmällä salattuna, mikäli salausta käytetään tarkastusoikeuden varaavien eri tiedon omistajien tietojen erotteluun, tai/ja mikäli tallennusvälineitä viedään niiden elinkaaren aikana kyseisen turvallisuusluokan säilyttämiseen hyväksytyn turvallisuusalueen ulkopuolelle.
</t>
  </si>
  <si>
    <t>TEK-07.5</t>
  </si>
  <si>
    <t>Pääsyoikeuksien hallinnointi - TL III</t>
  </si>
  <si>
    <t xml:space="preserve">Tehtävien erottelun riittävä toteutus riippuu merkittävästi kyseessä olevan järjestelmän käyttötapauksista. Useimmissa järjestelmissä riittävä tehtävien erottelu on toteutettavissa järjestelmän ylläpitoroolien (ja henkilöiden) ja lokien valvontaan osallistuvien roolien (ja henkilöiden) erottelulla toisistaan. Usein käytettynä valvontamekanismina on myös se, että kriittiset ylläpito- ja vastaavat toimet vaativat kahden tai useamman henkilön hyväksynnän.
</t>
  </si>
  <si>
    <t xml:space="preserve">Tehtävät ja vastuualueet on mahdollisuuksien mukaan eriytetty, jotta vähennetään suojattavien kohteiden luvattoman tai tahattoman muuntelun tai väärinkäytön riskiä. Mikäli vaarallisia työyhdistelmiä syntyy, on niitä varten oltava valvontamekanismi.
</t>
  </si>
  <si>
    <t>TihL 13 § 1 mom;
TLA 11 § 1 mom 3 k</t>
  </si>
  <si>
    <t>I-06, I-12</t>
  </si>
  <si>
    <t>TEK-08</t>
  </si>
  <si>
    <t>Normaali</t>
  </si>
  <si>
    <t>Tietojenkäsittely-ympäristön toimijoiden tunnistaminen</t>
  </si>
  <si>
    <t>Tietojenkäsittely-ympäristöä käyttävät henkilöt, laitteet ja tietojärjestelmät tunnistetaan riittävän luotettavasti.</t>
  </si>
  <si>
    <t xml:space="preserve">Vaatimus voidaan täyttää siten, että toteutetaan alla mainitut toimenpiteet:
Henkilöiden tunnistaminen:
1) Käytössä on yksilölliset henkilökohtaiset käyttäjätunnisteet.
2) Kaikki käyttäjät tunnistetaan ja todennetaan.
3) Tunnistamisessa ja todennuksessa käytetään tunnettua ja turvallisena pidettyä tekniikkaa tai se on muuten järjestetty luotettavasti.
4) Tunnistuksen epäonnistuminen liian monta kertaa peräkkäin aiheuttaa tunnuksen lukittumisen.
5) Järjestelmien ja sovellusten ylläpitotunnukset ovat henkilökohtaisia. Mikäli tämä ei kaikissa järjestelmissä tai sovelluksissa ole teknisesti mahdollista, edellytetään sovitut, dokumentoidut ja käyttäjän yksilöinnin mahdollistavat hallintakäytännöt yhteiskäyttöisille tunnuksille.
6) Todennus tehdään vähintään salasanaa käyttäen. Mikäli käytetään salasanatodennusta, a) käyttäjiä on ohjeistettu hyvästä turvallisuuskäytännöstä salasanan valinnassa ja käytössä, b) käyttöä valvova ohjelmisto asettaa salasanalle tietyt turvallisuuden vähimmäisvaatimukset ja pakottaa salasanan vaihdon sopivin määräajoin. Salasanan vaihdon sopiva määräaika tulee suhteuttaa organisaation toimintaympäristön ja laitteessa käsiteltävän ja säilytettävän turvallisuusluokitellun tiedon luokituksen mukaan, muut turvallisuusratkaisut huomioiden.
Tietojärjestelmien tunnistaminen:
7) Tietoa keskenään vaihtavat tietojärjestelmät tunnistetaan käyttötapaukseen soveltuvalla tekniikalla, kuten salasanoilla, avaimilla (esim. API-avain), tunnistevälineillä (tokeneilla, esim. oAuth) tai vastaavilla menetelmillä. Tunnistautuminen tehdään salattuja yhteyksiä pitkin.
Huomioitavaa
Tunnistamisen ja todentamisen luotettavaan järjestämiseen kuuluu huolehtiminen ainakin siitä, että i) todennusmenetelmä on suojattu välimieshyökkäyksiltä (man-in-the-middle), ii) sisäänkirjautuessa, ennen todennusta, ei paljasteta mitään tarpeetonta tietoa, iii) todennuksessa käytettävät tunnistamistiedot (todennuskredentiaalit) ovat aina salatussa muodossa jos ne lähetetään verkon yli, iv) todennusmenetelmä on suojattu uudelleenlähetyshyökkäyksiä vastaan, v) todennusmenetelmä on suojattu brute force -hyökkäyksiä vastaan. 
Huomioitavaa erityisesti pilviteknologiaa hyödyntävissä toteutuksissa:
- Julkisen verkon yli saavutettavissa pilvipalveluissa käyttötapa tulkittavissa etäkäytöksi ja siten huomioitava esimerkiksi vaatimukset vahvasta, useaan todennustekijään pohjautuvasta tunnistaumisesta.
- Tilanteissa, joissa pilvipalveluun tunnistautumisessa hyödynnetään federoitua identiteetinhallintaa, tai/ja identiteetin- ja pääsynhallintajärjestelmiä (organisaation omia tai esimerkiksi pilvipalveluntarjoajan tuottamia), tulee arvioinnissa kiinnittää erityistä huomiota tunnistuspalvelun sekä attribuuttien välitysketjun luotettavuuteen. Salassa pidettävän tiedon käsittelyyn soveltuvat vain sellaiset tunnistuspalvelut, jotka tarjoavat vahvaan ensitunnistamiseen perustuvaa identiteettiä ja joiden attribuuttien välitysketju pystytään toteuttamaan riittävän turvallisesti tunnistukseen nojaavaan palveluun asti. 
- Koska salassa pidettävän tiedon suojaus on yleensä suoraan riippuvainen tunnistuspalvelun luotettavuudesta, tunnistuspalvelun turvallisuudesta varmistuminen kuuluu lähes poikkeuksetta
osaksi pilvipalvelun turvallisuuden arviointia. Esimerkiksi attribuuttien välityksen salausteknistä suojausta on tyypillisesti perusteltua arvioida samansuuntaisesti kuin kyseessä olevan tietotyypin suojaamiseen sovellettavan salausratkaisun avainten välitystä.
- Identiteetinhallintamalleista organisaatiokeskeinen (organization-centric identity management) soveltuu yleensä esimerkiksi käyttäjäkeskeistä (user-centric) paremmin salassa pidettävän tiedon suojaamistarpeisiin, joissa on huomioitava myös käyttäjän sidonta tiettyyn organisaatioon sekä turvallisuustoteutuksen luotettavuudesta varmistuminen.
- Asiakkaan vastuulla olevan osuuden arvioinnissa suositellaan huomioitavaksi erityisesti, että vastaavat vaatimukset koskevat myös asiakasta ja asiakkaan osuuteen liittyviä mahdollisia palveluntarjoajia.
</t>
  </si>
  <si>
    <t xml:space="preserve">TihL 14 §; 
TLA 11 § 1 mom 5 k
</t>
  </si>
  <si>
    <t xml:space="preserve">ISO/IEC 27002:2022 5.15, 5.17, 8.3, 8.5; NIST Special Publication 800-63B; PiTuKri IP-02, SA-01, SA-02 ja SA-03.
</t>
  </si>
  <si>
    <t>I-07</t>
  </si>
  <si>
    <t>TEK-08.1</t>
  </si>
  <si>
    <t xml:space="preserve">Kaikki käyttäjät tunnistetaan ja todennetaan yksilöllisillä henkilökohtaisilla käyttäjätunnisteilla.
</t>
  </si>
  <si>
    <t>TihL 13 § 1 mom, 16 §;
TLA 11 § 1 mom 3 ja 5 k</t>
  </si>
  <si>
    <t>TEK-08.2</t>
  </si>
  <si>
    <t xml:space="preserve">Tunnistamisessa ja todennuksessa käytetään tunnettua ja turvallisena pidettyä tekniikkaa tai se on muuten järjestettävä luotettavasti.
</t>
  </si>
  <si>
    <t>TihL 13 § 1 mom, 14 §, 16 §;
TLA 11 § 1 mom 3 ja 5 k</t>
  </si>
  <si>
    <t>ISO/IEC 27002:2022 8.5; PiTuKri IP-02</t>
  </si>
  <si>
    <t>TEK-08.3</t>
  </si>
  <si>
    <t xml:space="preserve">Käyttäjätunnukset lukittuvat tilanteissa, joissa tunnistus epäonnistuu liian monta kertaa peräkkäin.
</t>
  </si>
  <si>
    <t xml:space="preserve">TihL 13 § 1 mom;
TLA 7 §
</t>
  </si>
  <si>
    <t>TEK-08.4</t>
  </si>
  <si>
    <t>Tietojenkäsittely-ympäristön toimijoiden tunnistaminen - TL IV</t>
  </si>
  <si>
    <t xml:space="preserve">Laitteiden tunnistaminen: Turvallisuusluokitellun tiedon käsittelyyn käytetään vain organisaation tarjoamia ja hallinnoimia, kyseiselle turvallisuusluokalle hyväksyttyjä päätelaitteita. Kaikkien muiden laitteiden kytkeminen turvallisuusluokitellun tiedon käsittely-ympäristöön on yksiselitteisesti kielletty. Henkilöstö on ohjeistettu ja velvoitettu toimimaan ohjeistuksen mukaisesti.
Tietojärjestelmien tunnistaminen: Tietoa keskenään vaihtavat tietojärjestelmät tunnistetaan käyttötapaukseen soveltuvalla tekniikalla, kuten salasanoilla, avaimilla (esim. API-avain), tunnistevälineillä (tokeneilla, esim. oAuth) tai vastaavilla menetelmillä. Tunnistautuminen tehdään salattuja yhteyksiä pitkin.
Huomioitavaa: Turvallisuusluokan IV käsittely-ympäristöissä, joissa uhka palvelunestohyökkäyksen aiheuttamiseen (tunnusten lukitseminen esim. Internet-kytkentäisissä tunnistuspalveluissa) arvioidaan merkittäväksi, tunnuksen lukittuminen voidaan korvata jollain riskiä pienentävällä menettelyllä (esim. vastaamisen hidastamiseen, suodattamiseen tai väliaikaiseen lukitsemiseen perustuvat menettelyt). Turvallisuusluokan IV käsittely-ympäristöissä ei yleensä edellytetä päätelaitteen teknistä tunnistamista, mikäli käyttäjät tunnistetaan.
</t>
  </si>
  <si>
    <t xml:space="preserve">TLA 11 § 1 mom 5 k
</t>
  </si>
  <si>
    <t xml:space="preserve">ISO/IEC 27002:2022 5.15, 5.17, 8.3, 8.5; NIST Special Publication 800-63B; PiTuKri IP-02
</t>
  </si>
  <si>
    <t>TEK-08.5</t>
  </si>
  <si>
    <t>Tietojenkäsittely-ympäristön toimijoiden tunnistaminen - TL III</t>
  </si>
  <si>
    <t xml:space="preserve">Turvallisuusluokkien III-II toteutetaan myös seuraavat toimenpiteet:
1) Edellytetään vahvaa, vähintään kahteen tekijään perustuvaa käyttäjätunnistusta.
2) Päätelaitteet tunnistetaan teknisesti (laitetunnistus, 802.1X, tai vastaava menettely) ennen pääsyn sallimista verkkoon tai palveluun, ellei verkkoon kytkeytymistä ole fyysisen turvallisuuden menetelmin rajattu suppeaksi (esim. palvelimen sijoittaminen lukittuun laitekaappiin turva-alueen sisällä).
Huomioitavaa
Turvallisuusluokkien III ja II käsittely-ympäristöjen menetelmät vahvasta käyttäjätunnistuksesta ja päätelaitteen tunnistamisesta voidaan joissain tapauksissa toteuttaa siten, että tietojärjestelmään on mahdollista päästä vain tiukasti rajatusta fyysisesti suojatulta alueelta (yleensä turva-alue, lukittu laitekaappi, tai vastaava), jonka pääsynvalvonnassa käytetään vahvaa, vähintään kahteen tekijään perustuvaa tunnistamista. Tällöin käyttäjän tunnistaminen tietojärjestelmässä voidaan järjestää käyttäjätunnus-salasana -parilla. Tilanteissa, joissa käyttäjätunnistus nojaa fyysisen turvallisuuden menettelyihin, tulee myös fyysisen turvallisuuden menettelyjen täyttää jäljitettävyydelle asetetut vaatimukset erityisesti lokitietojen ja vastaavien tallenteiden säilytysaikojen suhteen. 
</t>
  </si>
  <si>
    <t>TEK-09</t>
  </si>
  <si>
    <t>Tietojärjestelmien fyysinen turvallisuus</t>
  </si>
  <si>
    <t xml:space="preserve">Tietoaineistoja on käsiteltävä ja säilytettävä toimitiloissa, jotka ovat tietoaineiston luottamuksellisuuteen, eheyteen ja saatavuuteen liittyvien vaatimusten toteuttamiseksi riittävän turvallisia.
</t>
  </si>
  <si>
    <t xml:space="preserve">Hallinnolliselle alueelle, turva-alueille sekä esimerkiksi säilytysyksiköille asetetut vaatimukset on kuvattu fyysisen turvallisuuden osiossa. Turvallisuusalueen ulkopuolella tapahtuva käyttö on etäkäyttöä, johon sovelletaan kyseisen kohdan vaatimuksia.
Tilanteissa, joissa tietoa käsitellään tilapäisesti luokkaa matalamman tason tilassa, on huomioitava myös esimerkiksi toiminta työskentelytaukojen aikana (esim tieto vietävä esimerkiksi turva-alueen kassakaappiin tauon ajaksi), näkyvyyden rajaus tilaan (esim. mahdollisten ikkunoiden peittäminen) ja käsittelytilaan pääsyn rajaaminen vain hyväksyttyihin henkilöihin.
Päätelaitteen eheys tulee pystyä varmistamaan riittävällä tasolla, jotta tiedon luottamuksellisuus ei vaarannu päätelaitteen eheyden menetyksen seurauksena. Tyypillisin tapa tietojärjestelmän eheydestä varmistumiseen on sen suojaaminen turvallisuusalueiden fyysisen pääsynhallinnan menettelyin, mukaan lukien esimerkiksi kaikki tietojärjestelmään liittyvät fyysiset palvelimet, verkkolaitteet, päätelaitteet sekä esimerkiksi kaapeloinnit.
</t>
  </si>
  <si>
    <t xml:space="preserve">TihL 15 § 2 mom;
TLA 10 §
</t>
  </si>
  <si>
    <t xml:space="preserve">ISO/IEC 27002:2022  7.1, 7.3, 7.6, 7.8; Tiedonhallintalautakunta: Suositus turvallisuusluokiteltavien asiakirjojen käsittelystä (2020:19, luku 5); PiTuKri FT-02; CPNI: Physical Security Advice
</t>
  </si>
  <si>
    <t>FYY-7.1, HAL-19</t>
  </si>
  <si>
    <t>TEK-10</t>
  </si>
  <si>
    <t>Järjestelmäkovennus</t>
  </si>
  <si>
    <t xml:space="preserve">Käytössä on menettelytapa, jolla järjestelmät asennetaan järjestelmällisesti siten, että lopputuloksena on kovennettu asennus. 
</t>
  </si>
  <si>
    <t xml:space="preserve">Järjestelmissä on usein paljon ominaisuuksia, jotka ovat yleensä oletusarvoisesti päällä ja helppo ottaa käyttöön. Ominaisuuksien oletusasetukset eivät usein ole riittävän turvallisia. Jos tarpeettomia ominaisuuksia ei poisteta käytöstä, nämä ovat myös pahantahtoisen toimijan käytettävissä. Jos välttämättömien palvelujen riskialttiita oletusasetuksia ei muuteta, ovat nämä myös pahantahtoisen toimijan käytettävissä. Järjestelmissä on oletusarvoisesti usein käytössä esimerkiksi ennalta määriteltyjä ylläpitosalasanoja, valmiiksi asennettuja tarpeettomia ohjelmistoja ja tarpeettomia käyttäjätilejä.  
Koventamisella tarkoitetaan yleisesti järjestelmän asetusten muuttamista siten, että järjestelmän haavoittuvuuspinta-alaa saadaan pienennettyä. Riskien pienentämiseksi järjestelmissä on yleisesti otettava käyttöön vain käyttövaatimusten kannalta olennaiset toiminnot, laitteet ja palvelut, ja esimerkiksi palvelujen näkyvyys tulee rajata mahdollisimman pieneksi. Vastaavasti esimerkiksi automaattisille prosesseille on annettava vain ne tiedot, oikeudet tai valtuutukset, jotka ovat niiden tehtävien suorittamiseksi välttämättömiä, jotta rajoitetaan onnettomuuksista, virheistä tai järjestelmän resurssien luvattomasta käytöstä mahdollisesti aiheutuvia vahinkoja. Järjestelmän mahdollisesti turvattomat oletusasetukset ja esimerkiksi tarpeettomat oletuskäyttäjätilit tulee muuttaa tai poistaa.
Järjestelmillä tarkoitetaan verkon aktiivilaitteita, palvelimia, työasemia, mobiililaitteita, tulostimia, oheislaitteita ja muita tietojärjestelmäksi käsitettäviä laitteita. Palvelinten, työasemien ja vastaavien riittävän kovennuksen voi toteuttaa esimerkiksi DISA STIG:iä, CIS:iä tai vastaavaa tasoa mukaillen. Mikäli turvallisuusluokitellun tiedon käsittelyyn käytetään verkkotulostimia, puhelinjärjestelmiä tai vastaavia, edellä mainittuja periaatteita tulisi soveltaa myös näihin järjestelmiin. Koventamiseen ja kovennetun asennuksen ylläpitämiseen voidaan usein hyödyntää myös konfiguraationhallintatyökaluja.
Oleellista kovennuksista
1) Oletussalasanat on vaihdettu organisaation salasanapolitiikan mukaisiin laadukkaisiin salasanoihin. Salasanoja säilytetään siten, että salasanat ovat suojattuna sekä saatavilla.
2) Ylimääräiset palvelut, sovellukset, yhteydet (myös BIOS-tasolla) ja laitteet on poistettu.
3) Käyttäjät, rajapinnat ja laitteet tunnistetaan (vrt. I-07).
4) Päällä olevat välttämättömät palvelut ovat saavutettavissa vain tarpeellisten verkkojen, laitteiden ja käyttäjätunnusten osalta.
5) Ohjelmistot (esim. laiteohjelmistot, sovellukset) pidetään ajantasaisina (vrt. I-19).
6) Kohteen yhteydet, mukaan lukien hallintayhteydet, ovat rajattuja, kovennettuja, käyttäjätunnistettuja sekä aikarajoitettuja (istunnon aikakatkaisu).
7) Käytössä olevat sovellukset, rajapinnat ja vastaavat on kovennettu, rajoitettu ja ominaisuudet on asetettu vähimpien oikeuksien periaatteen mukaiseksi.
8) Ohjelmistot, kuten käyttöjärjestelmät, sovellukset ja laiteohjelmistot, asetetaan keräämään tarvittavaa lokitietoa väärinkäytösten havaitsemiseksi (vrt. I-10).
9) Tietojärjestelmän käynnistäminen tuntemattomalta (muulta kuin ensisijaiseksi määritellyltä) laitteelta on estetty.
Korvaavia menetelmiä
Mikäli esimerkiksi verkkolaitteen hallinta ei ole teknisesti mahdollista käyttäjän yksilöivällä käyttäjätunnuksella, käyttäjän yksilöivä tunnistaminen voidaan järjestää käyttösäännöillä esimerkiksi siten, että salasanaan pääsy edellyttää kahden henkilön osallistumista. Mikäli ympäristön koko on suurehko, todennuksen järjestämiseen suositellaan kahdennettujen AAA-palvelimien (erityisesti TACACS+, RADIUS tai Kerberos) hyödyntämistä. 
Huomioitavaa erityisesti pilviteknologiaa hyödyntävissä toteutuksissa:
Asiakkaan vastuulla olevan osuuden arvioinnissa suositellaan huomioitavaksi erityisesti, että vastaavat vaatimukset koskevat myös asiakasta ja asiakkaan osuuteen liittyviä mahdollisia palveluntarjoajia.
</t>
  </si>
  <si>
    <t xml:space="preserve">1) Kovennettavat kohteet on tunnistettu. 
2) Kovennusten toteutus on määritelty. 
3) Kohteet on kovennettu määritysten mukaisesti. 
4) Kovennusten pysyminen päällä varmistetaan säännöllisesti, erityisesti päivitysten jälkeen koko tietojärjestelmän elinkaaren ajan. 
Erityisesti huomioitavaa:
a) Kovennukset kohdistetaan kaikkiin tietojenkäsittely-ympäristön laitteisiin, joita ovat muun muassa verkon aktiivilaitteet, palvelimet, työasemat, mobiililaitteet, tulostimet, oheislaitteet ja muut tietojärjestelmäksi käsitettävät laitteet.
b) Hyökkäyspinta-alan rajaamiseksi laitteissa on päällä vain tarvittavat palvelut, rajapinnat, yhteydet ja väylät, ja nämä toimivat vähimpien oikeuksien periaatteella.
c) Laitteen laiteohjelmisto (firmware, BIOS ja vastaavat), käyttöjärjestelmä, sovellukset sekä muut vastaavat komponentit kovennetaan vähintään valmistajan kovennussuosituksen mukaisesti ja/tai käyttäen yleisesti tunnettua kovennusohjetta. Tämän lisäksi kovennukset räätälöidään järjestelmäkohtaisesti käyttötarkoituksen ja riskien perusteella. Jollei kovennusohjetta käytetylle komponentille ole olemassa, sovelletaan vastaavalle tuotteelle tarkoitettua ohjetta.
</t>
  </si>
  <si>
    <t>TihL 13 § 1 ja 4 mom;
TLA 11 § 1 mom 6 k</t>
  </si>
  <si>
    <t xml:space="preserve">ISO/IEC 27002:2022 8.27; The United States Government Configuration Baseline (USGCB); DISA Security Technical Implementation Guides (STIGs); NIST - National Checklist Program Repository; Microsoft DSC Environment Analyzer; Microsoft Baseline Management; CIS benchmarks; PiTuKri JT-02
</t>
  </si>
  <si>
    <t>I-08</t>
  </si>
  <si>
    <t>TEK-10.1</t>
  </si>
  <si>
    <t>Järjestelmäkovennus - käytössä olevien palveluiden minimointi</t>
  </si>
  <si>
    <t xml:space="preserve">Käyttöön on otettu vain käyttövaatimusten ja tietojen käsittelyn kannalta olennaiset toiminnot, laitteet ja palvelut. 
</t>
  </si>
  <si>
    <t>Kovennettu asennus sisältää vain sellaiset komponentit ja palvelut, sekä käyttäjien ja prosessien oikeudet, jotka ovat välttämättömiä toimintavaatimusten täyttämiseksi ja turvallisuuden varmistamiseksi.</t>
  </si>
  <si>
    <t>TihL 13 § 1 mom;
TLA 11 § 1 mom 6 k</t>
  </si>
  <si>
    <t>TEK-10.2</t>
  </si>
  <si>
    <t>Järjestelmäkovennus - kovennusten varmistaminen koko elinkaaren ajan</t>
  </si>
  <si>
    <t xml:space="preserve">Kovennusten voimassaolosta ja vaikuttavuudesta huolehditaan koko tietojärjestelmän elinkaaren ajan.
</t>
  </si>
  <si>
    <t>TEK-10.3</t>
  </si>
  <si>
    <t>Järjestelmäkovennus - turvallisuusluokitellut ympäristöt</t>
  </si>
  <si>
    <t xml:space="preserve">Erityisesti korkeimpien turvallisuusluokkien ympäristöissä tarpeettomien komponenttien käytönesto on usein perusteltua toteuttaa fyysisesti kyseiset komponentit (esimerkiksi langattomat verkkokortit, kamerat, mikrofonit) laitteesta irrottaen. Tilanteissa, joissa kyseistä komponenttia ei voida fyysisesti irrottaa, korvaavana suojauksena voi joissain tapauksissa hyödyntää esimerkiksi kameroiden teippaamista sekä laitteiston ohjelmallista käytöstäpoistoa sekä käyttäjäasetus-, käyttöjärjestelmä- ja laiteohjelmistotasoilla. Joissain käyttöjärjestelmissä suojausta voidaan täydentää myös poistamalla kyseisen laitteen käyttöön liittyvät ohjelmisto-osiot (kernel module).
Turvallisuusluokkien III-II käsittely-ympäristöissä vaatimus tulee huomioida kovennusohjeiden mahdollisesti sisältämät tasot sekä useiden eri kovennusohjeiden, kuten esimerkiksi valmistajakohtaiset ohjeet, CIS Benchmark ja DISA STIG, hyödyntäminen kovennusten kattavuuden varmistamisessa.
</t>
  </si>
  <si>
    <t xml:space="preserve">Turvallisuusluokkien III-II käsittely-ympäristöissä vaatimus voidaan toteuttaa siten, että kohtien 1-4 lisäksi kovennuksiin käytetään useita kovennusohjeita ja kovennusohjeiden toteutuksen tiukkuutta kiristetään.
</t>
  </si>
  <si>
    <t>TEK-11</t>
  </si>
  <si>
    <t>Haittaohjelmilta suojautuminen</t>
  </si>
  <si>
    <t xml:space="preserve">Tietojenkäsittely-ympäristössä toteutetaan luotettavat menetelmät haittaohjelmauhkien ennaltaehkäisyyn, estämiseen, havaitsemiseen, vastustuskykyyn ja tilanteen korjaamiseen.
</t>
  </si>
  <si>
    <t xml:space="preserve">Haittaohjelmariskejä vastaan voidaan suojautua esimerkiksi järjestelmien kovennusmenettelyillä , käyttöoikeuksien rajauksilla, järjestelmien pitämisellä turvallisuuspäivitysten tasolla, poikkeamien havainnointikyvyllä, henkilöstön turvatietoisuudesta varmistumalla ja myös haittaohjelman torjuntaohjelmistojen käytöllä. Riskejä voidaan pienentää myös riskialttiiden ympäristöjen eriyttämisellä tuotantoympäristöistä sekä muun muassa siirreltävien medioiden (esimerkiksi USB-muistien) käytön rajauksilla. Torjuntaohjelmistot voidaan jättää asentamatta ympäristöissä, joihin haittaohjelmien pääsy on muuten estetty (esim. järjestelmät, joissa ei ole mitään tiedon tuonti-/vientiliittymiä, tai joissa tarkasti rajatuissa liittymissä toteutetaan siirrettävän tiedon luotettava validointi/sanitointi).
</t>
  </si>
  <si>
    <t xml:space="preserve">Vaatimus voidaan täyttää siten, että toteutetaan alla mainitut toimenpiteet:
1) Järjestelmien käyttöoikeudet on rajattu vähimpien oikeuksien periaatteen mukaisesti.
2) Järjestelmät pidetään turvallisuuspäivitysten tasolla.
3) Järjestelmät on kovennettuja siten, että vain välttämättömät toiminnallisuudet ja ohjelmistokomponentit käytössä. 
4) Henkilöstön turvatietoisuudesta on varmistuttu. Käyttäjiä on ohjeistettu haittaohjelmauhista ja organisaation tietoturvaperiaatteiden mukaisesta toiminnasta.
5) Haittaohjelman torjuntaohjelmistot on asennettu kaikkiin sellaisiin järjestelmiin, jotka ovat alttiita haittaohjelmatartunnoille. Tällaisia ovat tyypillisesti muun muassa julkisen verkon yhdyskäytävät (esim. sähköposti- ja WWW-liikennöinti), sekä ulkoisiin rajapintoihin (muut verkot, USB-mediat ja vastaavat) yhteydessä olevat päätelaitteet.
6) Torjuntaohjelmistot ovat toimintakykyisiä ja käynnissä.
7) Torjuntaohjelmistot tuottavat havainnoistaan lokitietoja ja hälytyksiä.
8) Haittaohjelmatunnisteet (ja vast.) päivittyvät säännöllisesti.
9) Haittaohjelmahavaintoja sekä hälytyksiä seurataan säännöllisesti ja niihin reagoidaan.
</t>
  </si>
  <si>
    <t>TihL 13 § 1 mom, 15 § 1 mom;
TLA 11 § 1 mom 2 ja 3 k</t>
  </si>
  <si>
    <t xml:space="preserve">ISO/IEC 27002:2022 8.7; PiTuKri JT-04
</t>
  </si>
  <si>
    <t>I-09</t>
  </si>
  <si>
    <t>TEK-11.1</t>
  </si>
  <si>
    <t>Haittaohjelmilta suojautuminen - TL IV</t>
  </si>
  <si>
    <t xml:space="preserve">Turvallisuusluokan IV käsittely-ympäristöissä vaatimus voidaan täyttää siten, että toteutetaan lisäksi:
1) On tunnistettu järjestelmät, joissa haittaohjelman torjuntaohjelmistoilla pystytään saamaan lisäsuojausta.
</t>
  </si>
  <si>
    <t xml:space="preserve">TLA 11 § 1 mom 2 k
</t>
  </si>
  <si>
    <t>TEK-11.2</t>
  </si>
  <si>
    <t>Haittaohjelmilta suojautuminen - TL III</t>
  </si>
  <si>
    <t xml:space="preserve">Julkisista verkoista eristetyt ympäristöt
Järjestelmissä, joita ei kytketä julkiseen verkkoon, haittaohjelmatunnisteiden päivitys voidaan järjestää esimerkiksi käyttämällä hallittua suojattua päivitystenhakupalvelinta, jonka tunnistekanta pidetään ajan tasalla esimerkiksi erillisestä Internetiin kytketystä järjestelmästä tunnisteet käsin siirtämällä (esim. 1-3 kertaa viikossa), tai tuomalla tunnisteet hyväksytyn yhdyskäytäväratkaisun kautta. Tunnisteiden päivitystiheyden riittävyyden arviointi tulee suhteuttaa riskienarvioinnissa kyseisen ympäristön ominaispiirteisiin, erityisesti huomioiden ympäristön muun tiedonsiirron tiheyden. Huom. Päivitysten eheydestä varmistumiseen tulisi olla menettelytapa (lähde, tarkistussummat, allekirjoitukset, jne.).
USB-porttien ja vastaavien liityntöjen käytön tapauskohtaisiin ehtoihin voi sisältyä esimerkiksi, että järjestelmään voi kytkeä vain erikseen määritettyjä luotettavaksi todennettuja muistitikkuja (ja vastaavia), joita ei kytketä mihinkään muuhun järjestelmään. Tapauskohtaisiin ehtoihin voi sisältyä esimerkiksi järjestely, jossa vain organisaation tietohallinnon (tai vast.) jakamia muistivälineitä voidaan kytkeä organisaation järjestelmiin, ja että kaikkien muiden muistivälineiden kytkeminen on kielletty ja/tai teknisesti estetty.
Tilanteissa, joissa on tarve tuoda tietoa ei-luotetuista järjestelmistä jotain muistivälinettä käyttäen, tapauskohtaisiin ehtoihin sisältyy usein myös määrittelyt siitä, millä menetelmillä pienennetään tämän aiheuttamaa riskiä. Menetelmänä voi esimerkiksi olla ei-luotetusta lähteestä tulevan muistivälineen kytkeminen eristettyyn tarkastusjärjestelmään, jonne siirrettävä tieto siirretään, ja josta siirrettävä tieto viedään edelleen luotettuun järjestelmään erillistä muistivälinettä käyttäen. 
</t>
  </si>
  <si>
    <t xml:space="preserve">Turvallisuusluokkien III-II käsittely-ympäristöissä vaatimus voidaan täyttää siten, että lisäksi toteutetaan seuraavat toimenpiteet:
Kaikki tiedon sisääntuonnin ja ulosviennin käyttötapaukset on tunnistettu. Turvalliset toimintatavat on määritetty, ohjeistettu ja valvonnan piirissä. Turvallisten toimintatapojen piiriin sisältyy tarvearviointi järjestelmien USB-porttien ja vastaavien liityntöjen käytölle.
a) Tilanteissa, joissa liityntöjen käytölle ei ole kriittistä tarkastelua kestävää perustetta, liitynnät poistetaan käytöstä.
b) Tilanteissa, joissa liityntöjen käytölle on kriittistä tarkastelua kestävät perusteet, arvioidaan tapauskohtaisesti edellytykset ja ehdot, minkä mukaisia laitteistoja ja välineitä (esim. USB-muisteja) järjestelmään voidaan kytkeä. 
Tilanteissa, joissa on tarve tuoda tietoa ei-luotetuista järjestelmistä jotain muistivälinettä käyttäen, huomioidaan lisäksi yleensä turvallisuusluokalla III vähintään muistialueen tarkastaminen.
</t>
  </si>
  <si>
    <t>TLA 11 § 1 mom 2 k</t>
  </si>
  <si>
    <t>TEK-11.3</t>
  </si>
  <si>
    <t>Haittaohjelmilta suojautuminen - TL II</t>
  </si>
  <si>
    <t xml:space="preserve">Tilanteissa, joissa on tarve tuoda tietoa ei-luotetuista järjestelmistä jotain muistivälinettä käyttäen, huomioidaan lisäksi yleensä turvallisuusluokasta II lähtien myös muistivälineen kontrolleritason räätälöinnin uhat.
</t>
  </si>
  <si>
    <t>TLA 11 § 1 mom 2 ja 5 k</t>
  </si>
  <si>
    <t>Turvallisuuteen liittyvien tapahtumien jäljitettävyys</t>
  </si>
  <si>
    <t xml:space="preserve">Tietojen luvattoman muuttamisen ja muun luvattoman tai asiattoman tietojen käsittelyn havaitsemiseksi tietojenkäsittely-ympäristössä toteutetaan luotettavat menetelmät turvallisuuteen liittyvien tapahtumien jäljitettävyyden varmistamiseksi.
</t>
  </si>
  <si>
    <t xml:space="preserve">Jäljitettävyydellä tarkoitetaan järjestelmäympäristön tapahtumien kirjaamista siten, että poikkeamatilanteessa voidaan selvittää mitä toimia ympäristössä on tehty, kenen toimesta ja mitä vaikutuksia toimilla on ollut. Keskeisiä tallenteita ovat tyypillisesti kirjautumistietojen lisäksi keskeisten verkkolaitteiden ja palvelinten lokitiedot. Myös esimerkiksi työasemien ja vastaavien lokitiedot kuuluvat tähän erittäin usein. 
Kattavuusvaatimuksen toteuttamisessa voi usein hyödyntää sitä, että varmistaa, että ainakin työasemien, palvelinten, verkkolaitteiden (erityisesti palomuurien, myös työasemien sovellusmuurien) ja vastaavien lokitus on päällä. Verkkolaitteiden lokeista tulisi myös pystyä jälkikäteen selvittämään mitä hallintatoimenpiteitä verkkolaitteille on tehty, milloin ja kenen toimesta. Tapahtumalokeja olisi syytä kerätä järjestelmän toiminnasta, käyttäjäaktiviteeteista, tietoturvallisuuteen liittyvistä tapahtumista ja poikkeuksista.
Eräs suositeltu tapa lokien turvaamiseksi on ohjata keskeiset lokitiedot keskitetylle ja vahvasti suojatulle lokipalvelimelle, jonka tiedot varmuuskopioidaan päivittäin erilliseen, vähintään vastaavan turvallisuusluokan ympäristöön. Lokitietojen kerääminen ja tallennus tulee pyrkiä toteuttamaan siten, että lokitietojen poistaminen tai muuttaminen voidaan havaita myös tilanteissa, joissa esimerkiksi lokilähteen ja lokikeräimen välinen verkkoyhteys ei ole käytettävissä. Vastaavasti esimerkiksi verkosta pysyvästi irtikytkettyjen työasemien lokienkeräys sekä kerättyjen lokitietojen varmistukset edellyttävät säännöllistä prosessia. Sekä ylläpitäjien oikeusturvan, kuin myös tietomurtoepäilyjen tutkinnan tukemiseksi, suositellaan tehtävien erottelua toteutettavaksi siten, että lokitietojen ylläpito on eriytetty muusta ylläpitohenkilöstöstä. Jäljitettävyyden toteuttamisessa tulee huomioida myös tilanteet, joissa järjestelmään kirjautuneella on mahdollisuus suorittaa toimintoja toista tiliä käyttäen (user impersonation). Lokitietojen tallennus- ja seurantaohjelmiston toimivuutta tulee myös seurata, ja mahdolliset häiriöt tulee pystyä havaitsemaan lyhyelle aikaviiveellä (esim. yhden vuorokauden sisällä lokilähteen lopetettua lokien toimittamisen). 
Lokitietojen säilytysajoissa tulee huomioida kyseessä olevan käyttötapauksen tarpeet. Esimerkiksi joidenkin tietojen käsittely- ja luovutuslokeille voi olla perusteltua edellyttää eroavia säilytysaikoja, kuin poikkeamatilanteiden selvittämiseksi kerättäville lokitiedoille. Esimerkiksi viranomaistoiminnassa rikosoikeudelliset vanhentumisajat voivat johtaa tyypillisesti vähintään viiden vuoden säilytysaikatarpeisiin. Usein käytettynä käytäntönä on, että 6 kuukauden lokitiedot ovat saatavilla reaaliaikaisesti, ja pidemmän aikavälin lokitiedot ovat tarvittaessa saatavissa muutamien työpäivien viiveellä. Lokitietojen erilaisia käyttötapauksia on käsitelty myös Tiedonhallintalautakunnan suosituksessa (2020:21, luku 7).
Toteutus edellyttää usein myös sen huomioon ottamista, että lokien säilytystilaa ja -aikaa kasvatetaan riittäviksi. Suositus: lokeille varataan tilaa ympäristössä riittäväksi arvioitava määrä. Riittävän ajan määritys voidaan tehdä esimerkiksi siten, että arvioidaan yhden kuukauden lokikertymän perusteella riittävä tila vaadittavalle säilytysaikajaksolle. Huom. tilalle on syytä varata reilusti ”puskuria”, sillä poikkeavat tilanteet ja myös tietyt hyökkäystyypit kasvattavat lokimäärää merkittävästi.
</t>
  </si>
  <si>
    <t xml:space="preserve">Vaatimus voidaan täyttää siten, että toteutetaan alla mainitut toimenpiteet:
1) Toimintaan on jalkautettu kirjallinen lokien keräys-, luovutus-, hälytys- ja seurantapolitiikka/-ohje, joka on muodostettu ottaen huomioon toiminnan vaatimukset.
2) Tallenteet ovat riittävän kattavia tietomurtojen tai niiden yritysten jälkikäteiseen todentamiseen.
3) Keskeiset tallenteet säilytetään vähintään 6 kuukautta, ellei lainsäädäntö tai sopimukset edellytä pitempää säilytysaikaa. Käsittelylokit ja tallenteet, joita koskee esimerkiksi viranomaistoiminnan rikosoikeudelliset vanhentumisajat, säilytään vähintään 5 vuotta.
4) Lokitiedot ja niiden kirjauspalvelut suojataan luvattomalta pääsyltä (käyttöoikeushallinto, looginen pääsynhallinta).
</t>
  </si>
  <si>
    <t xml:space="preserve">TihL 17 §, 15 §;
TLA 7 §,14 §
</t>
  </si>
  <si>
    <t xml:space="preserve">The United States Government Configuration Baseline (USGCB); ISO/IEC 27002:2022 5.33, 8.15, 8.17; Tiedonhallintalautakunta: Suosituskokoelma tiettyjen tietoturvallisuussäädösten soveltamisesta (2020:21, luku 7); PiTuKri JT-01
</t>
  </si>
  <si>
    <t>HAL-7.1</t>
  </si>
  <si>
    <t>TEK-12.1</t>
  </si>
  <si>
    <t>Turvallisuuteen liittyvien tapahtumien jäljitettävyys - tietojen luovutukset</t>
  </si>
  <si>
    <t xml:space="preserve">Tietojärjestelmien käytöstä ja niistä tehtävistä tietojen luovutuksista kerätään tarpeelliset lokitiedot, jos tietojärjestelmän käyttö edellyttää tunnistautumista tai muuta kirjautumista.
</t>
  </si>
  <si>
    <t xml:space="preserve">Lokitietojen käyttötarkoituksena on tietojärjestelmissä olevien tietojen käytön ja luovutuksen seuranta sekä tietojärjestelmän teknisten virheiden selvittäminen.
</t>
  </si>
  <si>
    <t xml:space="preserve">TihL 17 §, 15 §;
TLA 7 §, 14 §
</t>
  </si>
  <si>
    <t>HAL-07.1, TSU-18</t>
  </si>
  <si>
    <t>TEK-12.2</t>
  </si>
  <si>
    <t>Turvallisuuteen liittyvien tapahtumien jäljitettävyys - TL III</t>
  </si>
  <si>
    <t xml:space="preserve">Turvallisuusluokan II–III tiedon käsittely on rekisteröitävä sähköiseen lokiin, tietojärjestelmään, asiarekisteriin tai tietoon (esimerkiksi dokumentin osaksi).
</t>
  </si>
  <si>
    <t xml:space="preserve">Turvallisuusluokiteltujen asiakirjojen käsittelyyn liittyvien lokitietojen säilytyksestä on annettu suositus VM 2021:5: "Suositus turvallisuusluokiteltavien asiakirjojen käsittelystä".
</t>
  </si>
  <si>
    <t xml:space="preserve">Turvallisuusluokkien III-II käsittely-ympäristöissä vaatimus voidaan täyttää siten, että kohtien 1-4 lisäksi toteutetaan seuraavat toimenpiteet:
5) Keskeiset tallenteet säilytetään vähintään 5 vuotta, ellei lainsäädäntö, suositukset tai sopimukset edellytä pitempää säilytysaikaa. Tallenteita, joilla on esimerkiksi poikkeamatilanteiden selvittelyn tai viranomaistoiminnan rikosoikeudelliselta kannalta hyvin vähäistä merkitystä, voidaan säilyttää lyhyemmän ajan, esimerkiksi 2-5 vuotta.
6) Lokitiedot varmuuskopioidaan säännöllisesti.
7) Samalla turvallisuusalueella olevien olennaisten tietojenkäsittelyjärjestelmien kellot on synkronoitu sovitun ajanlähteen kanssa.
8) On olemassa menetelmä lokien eheyden (muuttumattomuuden) varmistamiseen.
9) Syntyneiden lokitietojen käytöstä ja käsittelystä muodostuu merkinnät.
</t>
  </si>
  <si>
    <t>TihL 17 §, 15 §;
TLA 7 §, 14 §</t>
  </si>
  <si>
    <t>Valtiovarainministeriö: Suositus turvallisuusluokiteltavien asiakirjojen käsittelystä (2021:5) 7.9.</t>
  </si>
  <si>
    <t>TEK-12.3</t>
  </si>
  <si>
    <t>Turvallisuuteen liittyvien tapahtumien jäljitettävyys - TL I</t>
  </si>
  <si>
    <t xml:space="preserve">Turvallisuusluokan I tietojen käsittelyssä suositellaan riskiperustaisesti turvallisuusluokkaa II pidempiä säilytysaikoja lokitiedoille (esimerkiksi vähintään 10 vuotta).
Turvallisuusluokan I tietojenkäsittely-ympäristöt ovat tyypillisesti suppeita, koostuen esimerkiksi kaikista verkoista pysyvästi irtikytketyistä päätelaitteista. Toisaalta esimerkiksi 10 vuoden lokikertymän säilyvyys on haastava toteuttaa uskottavasti vain päätelaitteilla, joten tällaisten päätelaitteiden lokienkeräys sekä kerättyjen lokitietojen varmistukset edellyttävätkin yleensä suunniteltua säännöllistä prosessia. Käytännön toteutustapana voi olla esimerkiksi lokitietojen säännöllinen kerääminen irtomedialle, jota käsitellään ja säilytetään sen elinkaaren ajan kuin turvallisuusluokan I tietoa. Lisäksi huomioitava, että mikäli tietojärjestelmän pääsynhallinta tai esimerkiksi toimien jäljitettävyys nojautuu fyysisen turvallisuuden menettelyihin, myös näistä syntyviä tallenteita saattaa olla perusteltua säilyttää ja hallinnoida turvallisuusluokan I mukaisilla menettelyillä.
</t>
  </si>
  <si>
    <t>TEK-13</t>
  </si>
  <si>
    <t>Poikkeamien havainnointikyky ja toipuminen</t>
  </si>
  <si>
    <t xml:space="preserve">Tietojenkäsittely-ympäristössä toteutetaan luotettavat menetelmät, joilla pyritään havaitsemaan hyökkäys tietojenkäsittely-ympäristöä vastaan, rajoittamaan hyökkäyksen vaikutukset mahdollisimman pieneen osaan tietoja tai tietojenkäsittely-ympäristön resursseja ja estämään muut vahingot, sekä palauttamaan tietojenkäsittely-ympäristön suojattu tilanne viipymättä.
</t>
  </si>
  <si>
    <t xml:space="preserve">Tekninen poikkeamien havainnointikyky pohjautuu yleensä kolmeen lähteeseen: 1) Verkkoliikenteessä näkyviin tapahtumiin, 2) kerättyihin tallenteisiin (lokeihin) ja 3) kohteilla (hosts) näkyviin tapahtuviin. Riittävä tekninen havainnointikyky pystytään yleensä toteuttamaan edellä mainittuja havainnointilähteitä yhdistelemällä. Mitä tarkemmin kyseinen tietojenkäsittely-ympäristö ja sen normaali toiminta tunnetaan, sitä paremmin pystytään myös havainnoimaan normaalista toiminnasta eroavia tapahtumia. Normaalista toiminnasta eroavien tapahtumien havainnointi tukee myös sellaisten hyökkäysten havainnointia, joista ei ole saatavilla hyökkäysten tunnistetietoja (IoC, Indicator of Compromise). Tietojenkäsittely-ympäristön normaali toiminta tulisi tuntea koko elinkaaren ajalta, aina alkuhetkistä käytöstä poistoon asti. Myös muutostenhallinta (TEK-17) tukee poikkeamien havainnointikykyä, muun muassa laitteisto- ja ohjelmistokonfiguraatiomuutosten säännöllisen tarkastelun avulla.
Tarkkailuun ja havaitun hyökkäyksen vaikutusten rajoittamiseen on useita soveltuvia toteutusmahdollisuuksia keskeisten verkkosolmujen tasolla tapahtuvasta tarkastelusta aina työasema-/palvelinkohtaisiin sensoreihin sekä näiden yhdistelmiin. Riippumatta käytetyistä verkkolaitteista ja toimittajista, verkkotason havainnointikyvyn käytännön toteutus edellyttää tyypillisesti verkkoliikenteen normaalin tilan tuntemista. Turvallisuusluokan IV käsittely-ympäristöissä verkkoliikennetason havainnointikyvyn tulisi kattaa erityisesti verkon/kohteen ulkorajan, ja III-luokasta lähtien ulkorajan yhdyskäytäväratkaisun sekä verkon/kohteen sisäpuolen liikennöinnin.
Hyökkäyksen/väärinkäyttöyrityksen havaitseminen edellyttää useimmissa ympäristöissä käytännössä automatisoitujen havainnointi- ja hälytystyökalujen käyttöä. Joissain tilanteissa lokitietojen manuaalinen käsittely on myös mahdollista ja jopa välttämätöntä, mikäli automaattisin keinoin ei esimerkiksi ole havaittu poikkeamaa ja poikkeamatilanne vaatii tarkempaa selvitystä. Tulee myös muistaa, että lokeihin saa kerätä vain tietoturvaan liittyvien toimenpiteiden kannalta välttämättömiä tietoja, eikä toimenpiteitä toteutettaessa saa rajoittaa sananvapautta taikka luottamuksellisen viestin tai yksityisyyden suojaa. Yleisesti tulee huomioida, että havainnointikyky edellyttää kunkin tietojenkäsittely-ympäristön ominaispiirteiden tuntemista, ja muun muassa kriittisten kohteiden ja seurattavien tapahtumien määrittelyä ja räätälöintiä kyseessä olevan tietojenkäsittely-ympäristön mukaisesti, sekä havainnointikyvyn jatkuvaa ylläpitoa.
Tietojenkäsittely-ympäristön palauttaminen takaisin suojattuun tilaan kohtuullisessa ajassa edellyttää yleensä suunniteltuja, kuvattuja, koulutettuja sekä harjoiteltuja prosesseja sekä teknisiä menetelmiä.
Poikkeamien havainnointikyvyn kehittämisessä ja ylläpitämisessä tulee huomioida myös koko henkilöstön rooli. Esimerkiksi loppukäyttäjien ilmoittamat havainnot voivat tuottaa arvokasta tietoa hyökkäysten tai niiden yritysten havainnointiin.
</t>
  </si>
  <si>
    <t xml:space="preserve">Verkkoliikenteen normaali tila (liikennemäärät, protokollat ja yhteydet) on tiedossa. On olemassa menettely, jolla verkkoliikenteen normaaliin tilaan nähden eroavat tapahtumat (esimerkiksi poikkeavat yhteydet tai niiden yritykset) pyritään havaitsemaan.
</t>
  </si>
  <si>
    <t xml:space="preserve">TihL 13 § 1 mom, 15 § 1 mom, 17 §;
TLA 7 §, 11 § 1 mom 2 k
</t>
  </si>
  <si>
    <t xml:space="preserve">ISO/IEC 27002:2022 5.25, 5.26, 8.15, 8.16; PiTuKri TT-02, JT-01, TJ-05
</t>
  </si>
  <si>
    <t>TEK-17</t>
  </si>
  <si>
    <t>I-11, T-07, T-12</t>
  </si>
  <si>
    <t>TEK-13.1</t>
  </si>
  <si>
    <t>Poikkeamien havainnointikyky ja toipuminen - poikkeamien havainnointi lokitiedoista</t>
  </si>
  <si>
    <t xml:space="preserve">Suositellaan toteuttamaan menettely, jolla kerätyistä tallenteista ja tilannetiedosta (esimerkiksi muutokset lokikertymissä) pyritään havaitsemaan poikkeamia (erityisesti tietojärjestelmän luvaton käyttöyritys on kyettävä havaitsemaan).
</t>
  </si>
  <si>
    <t>TihL 13 § 1 mom, 15 § 1 mom, 17 §;
TLA 7 §, 11 § 1 mom 2 k</t>
  </si>
  <si>
    <t xml:space="preserve">ISO/IEC 27002:2022 8.15, 8.16; PiTuKri JT-01, TJ-05
</t>
  </si>
  <si>
    <t>I-11</t>
  </si>
  <si>
    <t>TEK-13.2</t>
  </si>
  <si>
    <t>Poikkeamien havainnointikyky ja toipuminen - TL IV</t>
  </si>
  <si>
    <t xml:space="preserve">1) On olemassa menettely, jolla kerätyistä tallenteista ja tilannetiedosta (esimerkiksi muutokset lokikertymissä) pyritään havaitsemaan poikkeamia (erityisesti tietojärjestelmän luvaton käyttöyritys on kyettävä havaitsemaan).
2) On olemassa menettely, jolla tietojenkäsittely-ympäristön kohteista (hosts, esimerkiksi työasemat ja palvelimet) voidaan havainnoida poikkeamia.
3) On olemassa menettely havaituista poikkeamista toipumiseen.
</t>
  </si>
  <si>
    <t>TEK-13.3</t>
  </si>
  <si>
    <t>Poikkeamien havainnointikyky ja toipuminen - TL I</t>
  </si>
  <si>
    <t xml:space="preserve">Käyttäjien ja ylläpitäjien toimintaa seurataan poikkeuksellisen toiminnan havaitsemiseksi.
</t>
  </si>
  <si>
    <t xml:space="preserve">Turvallisuusluokan I tietojen käsittelyssä suositellaan tehostettua poikkeamien havainnointikykyä, painottaen muun muassa tietojenkäsittely-ympäristön käyttäjien ja ylläpitäjien toiminnan seurantaa.
</t>
  </si>
  <si>
    <t xml:space="preserve">ISO/IEC 27002:2022 8.16; PiTuKri JT-01, TJ-05
</t>
  </si>
  <si>
    <t>TEK-14</t>
  </si>
  <si>
    <t>Ohjelmistojen turvallisuuden varmistaminen</t>
  </si>
  <si>
    <t xml:space="preserve">Sovellukset ja ohjelmointirajapinnat (API:t) suunnitellaan, kehitetään, testataan ja otetaan käyttöön alan hyvien turvallisuuskäytäntöjen mukaisesti. Sovellusten ja rajapintojen on kestettävä niitä vastaan käytettävissä olevat yleiset hyökkäysmenetelmät ilman, että käsiteltävien tietojen luottamuksellisuus, eheys tai saatavuus vaarantuu.
</t>
  </si>
  <si>
    <t xml:space="preserve">Ohjelmistot ja niiden käyttötarkoitukset eri tietojenkäsittely-ympäristöissä eroavat toisistaan merkittävästi. Vastaavasti myös tarpeet ohjelmistojen turvalliseen toteutukseen ja käyttöönottoon eroavat merkittävästi eri tietojenkäsittely-ympäristöissä ja käyttötarkoituksissa. Esimerkiksi kaikista verkoista fyysisesti eriytetyssä työasemassa käytettävän toimisto-ohjelmiston turvallisuudelle asetettavat tarpeet eroavat tarpeista, jotka kohdistuvat useiden käyttäjien saavutettavissa olevaan asianhallintajärjestelmään.
Ohjelmistoihin liittyviä riskejä ja turvallisuustarpeita voidaan arvioida esimerkiksi ohjelmiston käyttötarkoituksen ja sen turvallisuutta mahdollisesti toteuttavan roolin, hyökkäyspinta-alan, sekä käsiteltävien tietojen luonteen ja turvallisuusluokan avulla. Mikäli ohjelmiston käyttötarkoituksena ja roolina on toimia esimerkiksi pääsyä rajaavana mekanismina turvallisuusluokiteltujen tietojen käsittelyssä, ohjelmiston luotettavasta toiminnasta tulisi pystyä varmistumaan. Ohjelmistoon kohdistuva hyökkäyspinta-ala voi vaikuttaa oleellisesti ohjelmistoon kohdistuviin turvallisuustarpeisiin. Tyypillisesti esimerkiksi turvallisuusluokan IV palvelut voivat olla saavutettavissa laajemmin ja heterogeenisemmän joukon toimesta, kuin esimerkiksi turvallisuusluokkien III-II palvelut. Ohjelmistoille asetettavat turvallisuusvaatimukset voivatkin olla turvallisuusluokan IV järjestelmissä joiltain osin tiukempia kuin esimerkiksi sellaisissa tiukasti eristetyissä ja suppeissa korkeamman turvallisuusluokan järjestelmissä, joissa jokaisella käyttäjällä on tiedonsaantitarve (need-to-know) kaikkeen järjestelmässä käsiteltävään tietoon. Käsiteltävien tietojen turvallisuusluokka ja oletettu kiinnostavuus ulkopuolisille toimijoille voi vaikuttaa ohjelmistoon kohdistuvaan riskiin ja suojaustarpeisiin. Esimerkiksi poliittisesti suuren ulkopuolisen kiinnostuksen kohteena olevat tiedot, tai korkealle turvallisuusluokitellut tiedot, voivat vaikuttaa merkittävästi ohjelmistoon kohdistuviin riskeihin ja turvallisuustarpeisiin myös kaikkein edistyneimpiin hyökkäyksiin varautumisessa.
Otettaessa käyttöön valmisohjelmistoa sekä tilattaessa räätälöityä tai itse tuotettua ohjelmistoa on tilaajan jo suunnitteluvaiheessa kiinnitettävä huomiota ohjelmiston ja sen käyttämien oheiskomponenttien tietoturvalliseen kehitykseen. Huomiota on kiinnitettävä myös muihin koko ohjelmiston elinkaaren kattaviin tekijöihin. Tekijöitä ovat esimerkiksi käyttöönotonaikaiset vaatimukset, sopimustekniikka, päivityskäytännöt ja muutostenhallinta. Turvallisuusluokitellun tiedon suojaukseen oleellisesti vaikuttavat ohjelmistot on toteutettava turvallisen ohjelmistokehityksen käytäntöihin nojautuen, kattaen sekä ohjelmistokoodin laadun että ohjelmistokehityksen prosessit.
Ohjelmiston vaatimusmäärittelyssä tulee jo hankintavaiheessa huomioida lainsäädännöstä johdetut vaatimukset. Erityisesti salauksiin (I-12), hallintaliittymiin (I-04), käyttäjähallintaan ja -tunnistukseen (I-06, I-07), kovennuksiin (I-08) ja jäljitettävyyteen (lokitukseen, I-10) liittyvät kokonaisuudet tulee huomioida myös ohjelmistojen toteutuksissa. Ohjelmistojen toteutukset eivät saa vaarantaa tiedonsaantitarpeen (need-to-know) toteutumista, tai tarjota ulkopuolisille toimijoille pääsyä suojattavaan tietojenkäsittely-ympäristöön tai sen osakokonaisuuksiin. Elinkaaren vaiheissa tulee varmistua erityisesti ohjelmistokorjausten tekemisen vastuutuksista, sekä mahdollistettava ohjelmiston turvallisuuden ylläpito myös uusia hyökkäystekniikoita vasten. Myös valmisohjelmistojen riittävästä laadusta voidaan pyrkiä varmistumaan vastaavia periaatteita noudattaen.
Joskus voi tulla tarve käyttää palveluita, joiden ohjelmakoodin ja sen kehityskäytäntöjen näkyvyys on heikkoa tai jopa olematonta. Tällaisten ohjelmistojen luotettavuudesta voidaan pyrkiä saamaan näyttöä esimerkiksi tutkimalla päivitystiheyksiä, dokumentaatiota ja mahdollista muuta näkyvyyttä, kuten olemassa olevia testiraportteja. Tällaisissa tilanteissa voi turvallisen konfiguroinnin lisäksi hyödyntää myös korvaavia suojauksia. Turvallisessa konfiguroinnissa ja korvaavina suojauksina voi tietyin rajoituksin hyödyntää esimerkiksi tehostettua havainnointikykyä, kovennuksia, koodin suorituksenaikaista rajoittamista (esim. AppLocker, SELinux, AppArmor), sovelluspalomuureja (WAF), sekä koko ohjelmiston loogista eriyttämistä esimerkiksi virtualisointia hyödyntäen.
Ohjelmistojen turvallisuudesta varmistumiseen tulee hyödyntää aihepiirin tarkentavia ohjeita ja standardeja. Näitä ovat esimerkiksi VAHTI Sovelluskehityksen tietoturvaohje (VAHTI 1/2013), OWASP Application Security Verification Standard (ASVS) ja Kyberturvallisuuskeskuksen ohje "Turvallinen tuotekehitys: kohti hyväksyntää".
</t>
  </si>
  <si>
    <t xml:space="preserve">1) Ohjelmistojen (sovellukset, palvelut, järjestelmät) käyttötarkoitukset ja ohjelmistojen turvallisuutta mahdollisesti toteuttavat roolit on tunnistettu.
2) Ohjelmistojen (sovellukset, palvelut, järjestelmät) turvallisuustarpeet on arvioitu, huomioiden erityisesti ohjelmiston käyttötarkoituksen ja sen turvallisuutta mahdollisesti toteuttavan roolin, hyökkäyspinta-alan, sekä käsiteltävien tietojen luonteen ja turvallisuusluokan.
3) Ohjelmistojen (sovellukset, palvelut, järjestelmät) riippuvuudet ja rajapinnat on tunnistettu. Riippuvuuksiin ja rajapintoihin on kohdistettu ohjelmistoa vastaavat vaatimukset, huomioiden esimerkiksi käytetyt kirjastot, rajapinnat (API:t) ja laitteistosidonnaisuudet. Vaatimuksissa on huomioitu sekä palvelin- että asiakaspuolen osuudet.
4) Kriittiset ohjelmistot (sovellukset, palvelut, järjestelmät) toteutetaan tai toteutus tarkastetaan mahdollisuuksien mukaan luotettavaa standardia vasten tai/ja turvallisen ohjelmoinnin ohjetta hyödyntäen.
5) On varmistettu, että ohjelmistojen (sovellukset, palvelut, järjestelmät) ohjelmakoodin laadun ylläpito, kehitys ja muutoshallinta vastaavat tarpeita koko elinkaaren ajan.
6) On varmistettu, että ohjelmistot (sovellukset, palvelut, järjestelmät) täyttävät lainsäädännöstä johdetut vaatimukset. Erityisesti huomioitava salauksiin, hallintaliittymiin, käyttäjähallintaan ja -tunnistukseen, kovennuksiin ja jäljitettävyyteen liittyvät kokonaisuudet.
</t>
  </si>
  <si>
    <t xml:space="preserve">TihL 13 § 1 mom, 15 § 1 mom; TLA 11 § 1 mom 2, 3, 4, 5 ja 6 k
</t>
  </si>
  <si>
    <t xml:space="preserve">OWASP Application Security Verification Standard (ASVS); CWE TOP 25 Most Dangerous Software Errors; The Building Security In Maturity Model; Software Assurance Maturity Model; ISO/IEC 27002:2022 5.8, 8.26, 8.27, 8.28, 8.29; Traficom: Turvallinen tuotekehitys: kohti hyväksyntää; PiTuKri MH-02
</t>
  </si>
  <si>
    <t>Hajasäteily (TEMPEST) ja elektroninen tiedustelu</t>
  </si>
  <si>
    <t xml:space="preserve">Turvatoimia toteutetaan turvallisuusluokiteltuihin tietoihin liittyvässä tietojenkäsittely-ympäristössä riittävän turvallisilla menetelmillä niin, että tahattomat sähkömagneettiset vuodot eivät vaaranna tietoja (TEMPEST-turvatoimet). Nämä turvatoimet on suhteutettava tiedon hyväksikäytön riskiin ja turvallisuusluokkaan. Käsiteltäessä turvallisuusluokan III tai II tietoja sähköisesti, on pidettävä huolta, että elektroniseen tiedusteluun liittyviä riskejä on pienennetty riittävästi.
</t>
  </si>
  <si>
    <t xml:space="preserve">Turvallisuusluokkien III-II käsittely-ympäristöissä raja-arvot ylittävän hajasäteilyn osalta suojautuminen toteutetaan ko. turvallisuusluokalle riittävän turvallisilla  menettelyillä.
Turvallisuusluokan III tietojen osalta on laajemmat mahdollisuudet hyväksyä korvaavia menettelyjä riittävän suojauksen saavuttamiseksi.
</t>
  </si>
  <si>
    <t xml:space="preserve">1) Hajasäteilyyn liittyvät riskit on tunnistettu ja arvioitu.
2) Turvatoimet tai korvaavat menettelyt on mitoitettu riskeihin, tiedon turvallisuusluokkaan ja hyväksyttävään jäännösriskitasoon.
</t>
  </si>
  <si>
    <t xml:space="preserve">TLA 11 § 2 mom
</t>
  </si>
  <si>
    <t xml:space="preserve">Traficom: Sähkömagneettisen hajasäteilyn aiheuttamien tietoturvariskien ehkäisyn periaatteet; ISO/IEC 27002:2022 7.12
</t>
  </si>
  <si>
    <t>FYY-5.6</t>
  </si>
  <si>
    <t>I-14</t>
  </si>
  <si>
    <t>TEK-15.1</t>
  </si>
  <si>
    <t>Hajasäteily (TEMPEST) ja elektroninen tiedustelu - TL II</t>
  </si>
  <si>
    <t xml:space="preserve">On toteutettu turvatoimet, jotka on mitoitettu riskeihin ja tiedon turvallisuusluokkaan. Kohteen hajasäteilyn vastatoimien riittävyys voidaan todentaa vyöhykemittauksella tai suojatun tilan mittauksella.
</t>
  </si>
  <si>
    <t>TEK-15.2</t>
  </si>
  <si>
    <t>Hajasäteily (TEMPEST) ja elektroninen tiedustelu - TL I</t>
  </si>
  <si>
    <t xml:space="preserve">Turvallisuusluokan I tietojen suojaamisessa tulee huomioida turvallisuusluokan II tiedoista eroavat riskit ja suhteutettava nämä toteutettaviin turvatoimiin. Hajasäteilyä ja siltä suojautumisen periaatteita on kuvattu yksityiskohtaisemmin Kyberturvallisuuskeskuksen hajasäteilyltä suojautumisen ohjeessa.
</t>
  </si>
  <si>
    <t>TEK-16</t>
  </si>
  <si>
    <t xml:space="preserve">Tiedon salaaminen
</t>
  </si>
  <si>
    <t xml:space="preserve">Kun salassa pidettävää tietoa siirretään yleisissä tietoverkoissa, tieto salataan salausratkaisulla, jossa ei ole tunnettuja haavoittuvuuksia ja joka tukee valmistajalta saatujen tietojen mukaan moderneja salausvahvuuksia ja -asetuksia. Lisäksi tietojensiirto on järjestettävä siten, että vastaanottaja varmistetaan tai tunnistetaan riittävän tietoturvallisella tavalla ennen kuin vastaanottaja pääsee käsittelemään siirrettyjä turvallisuusluokittelemattomia salassa pidettäviä tietoja.
</t>
  </si>
  <si>
    <t>Salassa pidettävän tiedon sähköiseen välitykseen liittyy useita riskejä. Riskien pienentäminen hyväksyttävälle tasolle edellyttää sekä henkilöstöön että tekniseen toteutukseen liittyvien tekijöiden huomiointia. Tilanteissa, joissa salassa pidettävää tietoa on tarve välittää esimerkiksi kahden organisaation välillä julkisen verkon kautta, turvallinen välitys edellyttää turvallisia salausratkaisuja ja avainhallintakäytäntöjä, sekä niiden käyttöön harjaantunutta henkilöstöä. Tilanteissa, joissa salausratkaisun käyttö edellyttää henkilöstön toimia (esimerkiksi salassa pidettävän dokumentin välitys toiseen organisaatioon sähköpostin salattuna liitteenä), tulee kiinnittää erityistä huomiota salausratkaisun turvallisen käytön jalkautukseen henkilöstölle. Teknisesti turvallinen salausratkaisu ei tuota salassa pidettävälle tiedolle riittävää suojausta esimerkiksi tilanteissa, joissa avainhallintakäytännöt ovat puutteellisia, tai joissa henkilöstö ei käytä salausratkaisua siihen liittyvien turvallisen käytön periaatteiden mukaisesti. 
Vastaanottajan riittävän luotettava varmistaminen riippuu merkittävästi käytetystä salausratkaisusta. Esimerkiksi Liikenne- ja viestintäviraston Kyberturvallisuuskeskuksen turvallisuusluokitellun tiedon suojaamiseen hyväksymien salausratkaisujen käyttöpolitiikoissa otetaan usein kantaa myös käyttäjien tunnistamiseen silloin, kun kyseistä salausratkaisua käytetään esimerkiksi toisessa organisaatiossa olevalle henkilölle viestintään. Toisaalta useissa salausratkaisuissa vastapuolen tunnistaminen nojaa avaimistonhallinnan luotettavuuteen (esimerkiksi jaettuun salaisuuteen perustuva organisaation toimipisteiden tai kahden eri organisaation verkkojen välinen (LAN-2-LAN) salaus, tai jaettuun salaisuuteen perustuva tiedostosalaus). Käytettävien salausvahvuuksien ja -asetusten valinnassa voidaan hyödyntää lähtökohtaisesti turvallisuusluokan IV mukaisia vahvuuksia ja asetuksia.
Internet, sekä operaattorin tarjoamat MPLS-verkot ja esimerkiksi niin sanotut mustat kuidut tulkitaan julkisiksi verkoiksi. Tämä kattaa puhelimen, telekopion (faksi), sähköpostin, pikaviestimet ja muut vastaavat tietoverkon kautta toimivat tiedonsiirtomenetelmät.</t>
  </si>
  <si>
    <t xml:space="preserve">1) Siirrettäessä salassa pidettävää tietoa ko. tiedolle hyväksyttyjen fyysisesti suojattujen alueiden ulkopuolella verkon kautta tulee ottaa huomioon erityisesti salauksen rooli keskeisenä suojauksena.
a) Henkilöstöllä on käytössä työvälineet ja menetelmät turvallisuusluokittelemattoman salassa pidettävän tiedon suojaamiseksi salausratkaisulla, jossa ei ole tunnettuja haavoittuvuuksia ja joka tukee valmistajalta saatujen tietojen mukaan moderneja salausvahvuuksia ja -asetuksia.
b) Henkilöstön osaamisesta salausratkaisun turvalliseen käyttöön on varmistuttu (esimerkiksi ohjeistus, koulutus ja valvonta).
2) Salaiset avaimet ovat vain valtuutettujen käyttäjien ja prosessien käytössä. Salausavaintenhallinnan prosessit ja käytännöt ovat dokumentoituja ja asianmukaisesti toteutettuja. Prosessit edellyttävät vähintään a) kryptografisesti vahvoja avaimia, b) turvallista avaintenjakelua, c) turvallista avainten säilytystä, d) säännöllisiä avaintenvaihtoja, e) vanhojen tai paljastuneiden avainten vaihdon, f) valtuuttamattomien avaintenvaihtojen estämisen.
3) Salausratkaisun toimitusketjun turvallisuudesta on varmistuttu riittävällä tasolla. Erityisesti salausratkaisun toimitusketju luotettavalta valmistajalta kohteen tietojenkäsittely-ympäristöön on varmistettu.
</t>
  </si>
  <si>
    <t>TihL 13 § 1 mom, 14 §; TLA 11 § 1 mom  7 k, 12 §</t>
  </si>
  <si>
    <t xml:space="preserve">Traficom: Liikenne- ja viestintävirasto Traficomin NCSA-toiminnon hyväksymät salausratkaisut; Traficom: Kryptografiset vahvuusvaatimukset luottamuksellisuuden suojaamiseen - kansalliset turvallisuusluokat; Traficom: Turvallinen tuotekehitys: kohti hyväksyntää;  Tiedonhallintalautakunta: Suositus turvallisuusluokiteltavien
asiakirjojen käsittelystä (2020:19, luku 7); ISO/IEC 27002:2022 5.14, 5.31, 8.24; PiTuKri JT-05, SA-01, SA-02, SA-03
</t>
  </si>
  <si>
    <t>I-01, I-12, I-15, I-18</t>
  </si>
  <si>
    <t>TEK-16.1</t>
  </si>
  <si>
    <t xml:space="preserve">Tiedon salaaminen - salaaminen turvallisuusalueen sisällä
</t>
  </si>
  <si>
    <t xml:space="preserve">Kun salassa pidettävää tietoa siirretään viranomaisen sisäisessä verkossa, voidaan käyttää alemman tason salausta tai salaamatonta tiedonsiirtoa riskinhallintaprosessin tulosten perusteella.
</t>
  </si>
  <si>
    <t xml:space="preserve">TihL 13 § 1 mom; 14 §; TLA 11 § 1 mom 7 k, 12 §
</t>
  </si>
  <si>
    <t xml:space="preserve">ISO/IEC 27002:2022 5.14, 8.24; PiTuKri JT-05, SA-02, SA-03
</t>
  </si>
  <si>
    <t>I-15</t>
  </si>
  <si>
    <t>TEK-16.2</t>
  </si>
  <si>
    <t>Tiedon salaaminen - turvallisuusluokitellun tiedon siirto turvallisuusalueiden ulkopuolella</t>
  </si>
  <si>
    <t xml:space="preserve">Kun turvallisuusluokiteltua tietoa siirretään hyväksyttyjen fyysisesti suojattujen turvallisuusalueiden ulkopuolella, tieto/tietoliikenne salataan riittävän turvallisella menetelmällä. Lisäksi tietojensiirto on järjestettävä siten, että vastaanottaja varmistetaan tai tunnistetaan riittävän tietoturvallisella tavalla ennen kuin vastaanottaja pääsee käsittelemään siirrettyjä turvallisuusluokiteltuja tietoja.
</t>
  </si>
  <si>
    <t xml:space="preserve">Erityisesti turvallisuusluokitellun tiedon suojaamisessa korostuu tarve käyttää salausratkaisuja, joiden riittävästä turvallisuudesta on luotettavaa näyttöä. Salausratkaisujen arvioinnissa huomioidaan useita eri tekijöitä. Salausvahvuuden ja salausratkaisun oikeellisesta toiminnasta varmistumisen lisäksi huomioidaan muun muassa salausratkaisun käyttöympäristön uhkataso. Esimerkiksi Internetin yli liikennöitäessä uhkataso eroaa merkittävästi tilanteeseen, jossa salausta käytetään liikennöintiin hallitun fyysisesti suojatun alueen sisällä (esimerkiksi kahden turva-alueen välinen liikennöinti hallinnollisen alueen kautta). Muihin salausratkaisujen arvioinnissa huomioitaviin tekijöihin kuuluvat esimerkiksi ko. käyttötapauksen vaatimukset tiedon salassapitoajalle ja kryptografiselle eheydelle.
Puhtaasti ohjelmistopohjaiset salausratkaisut ovat tyypillisesti hyväksyttävissä IV- ja joissain tilanteissa erityisehdoilla myös III-luokille. II-luokalle ja useimmin myös III-luokalle edellytetään tyypillisesti enemmän alustan luotettavuudelta. Salausratkaisujen hyväksyntäprosessia on kuvattu yksityiskohtaisemmin Kyberturvallisuuskeskuksen ohjeessa salaustuotearvioinneista ja -hyväksynnistä. Salausratkaisun vähimmäisvaatimuksia on käsitelty myös Kyberturvallisuuskeskuksen ylläpitämässä salausvahvuuskuvauksessa, sekä turvallisen tuotekehityksen ohjeessa.
</t>
  </si>
  <si>
    <t xml:space="preserve">1) Organisaatiossa on tunnistettu käyttötapaukset, joissa turvallisuusluokitellun tiedon suojaamiseen on tarve käyttää salausratkaisuja. Tunnistetut käyttötapaukset kattavat kaikki tilanteet, joissa turvallisuusluokitellun tiedon suojaaminen nojaa täysin tai osittain salausratkaisuun. Erityisesti on huomioitu liikennöinti julkisen tai matalamman turvallisuusluokan verkon kautta, tiedon välitys toiseen organisaatioon, ja turvallisuusalueiden ulkopuolelle vietävät päätelaitteet.
2) On hankittu ko. turvallisuusluokalle a) toimivaltaisen viranomaisen hyväksymät salausratkaisut ja käytetään niitä hyväksynnän yhteydessä määritellyn käyttöpolitiikan ja -asetusten mukaisesti, tai b) toimivaltaisen viranomaisen myöntämät tapauskohtaiset hyväksynnät ja käyttöpolitiikat-/asetukset sellaisille salausratkaisuille, joilla ei ollut entuudestaan voimassaolevaa hyväksyntää.
3) Siirrettäessä turvallisuusluokiteltua tietoa ko. turvallisuusluokalle hyväksyttyjen fyysisesti suojattujen turvallisuusalueiden ulkopuolella verkon kautta tulee ottaa huomioon erityisesti salauksen rooli keskeisenä suojauksena.
a) Henkilöstöllä on käytössä työvälineet ja menetelmät turvallisuusluokitellun tiedon suojaamiseksi toimivaltaisen viranomaisen hyväksymällä salausratkaisulla.
b) Henkilöstön osaamisesta riittävän turvallisen salausratkaisun turvalliseen käyttöön on varmistuttu (esimerkiksi ohjeistus, koulutus ja valvonta).
</t>
  </si>
  <si>
    <t>I-01, I-12, I-15, I-18, F-08.1</t>
  </si>
  <si>
    <t>TEK-16.3</t>
  </si>
  <si>
    <t>Tiedon salaaminen - turvallisuusluokitellun tiedon siirto turvallisuusalueiden sisällä</t>
  </si>
  <si>
    <t xml:space="preserve">Kun turvallisuusluokiteltua tietoa siirretään hyväksyttyjen fyysisesti suojattujen turvallisuusalueiden sisäpuolella, alemman tason salausta tai salaamatonta siirtoa voidaan käyttää riskinhallintaprosessin tulosten perusteella toimivaltaisen viranomaisen erillishyväksyntään perustuen.
</t>
  </si>
  <si>
    <t xml:space="preserve">2) Tilanteissa, joissa turvallisuusluokiteltua tietoa siirretään fyysisesti suojattujen turvallisuusalueiden sisäpuolella,
a) ko. turvallisuusluokan liikennekanava on fyysisesti suojattu (esimerkiksi kaapelointi, joka kulkee kokonaisuudessaan suppean, esimerkiksi vain yhden huoneen kattavan ko. turvallisuusluokan tiedon säilytykseen hyväksytyn fyysisesti suojatun turvallisuusalueen sisällä), tai
b) tieto suojataan riittävän turvallisella matalamman tason salauksella (esim. HTTPS ko. turvallisuusluokan verkon sisäisessä liikenteessä).
</t>
  </si>
  <si>
    <t>TEK-16.4</t>
  </si>
  <si>
    <t>Tiedon salaaminen - TL III</t>
  </si>
  <si>
    <t xml:space="preserve">Vain turvallisuusluokan III sähköisten tietojen säilytys on mahdollista kyseisen turvallisuusluokan mukaisessa päätelaitteessa turva-alueen ulkopuolella edellyttäen, että a) tiedot on suojattu ko. turvallisuusluokalle riittävän turvallisella salausratkaisulla , ja että b) päätelaitteen tietoturvallisuudesta, erityisesti ko. turvallisuusluokalle edellytettävästä luottamuksellisuudesta ja eheydestä on huolehdittu riittävin menettelyin.
</t>
  </si>
  <si>
    <t>F-04, I-12, I-17, I-18</t>
  </si>
  <si>
    <t>TEK-16.5</t>
  </si>
  <si>
    <t>Tiedon salaaminen - TL I</t>
  </si>
  <si>
    <t xml:space="preserve">Muissa tilanteissa, joissa turvallisuusluokan I tietojen suojaamiseen käytetään salausratkaisuja, esimerkiksi päätelaitteiden kiintolevyjen salaukseen tai eri tiedon omistajien tietojen erotteluun, suositellaan huomioitavaksi, että turvallisuusluokan I tietojen suojaamiseen riittävän luotettavia, hyväksyttyjä salausratkaisuja on saatavilla äärimmäisen rajoitetusti. Tällaisissa tilanteissa salausratkaisut ovatkin lähtökohtaisesti vain tukevassa roolissa muille suojauksille, erityisesti fyysiselle pääsynhallinnalle.
</t>
  </si>
  <si>
    <t xml:space="preserve">Erityisesti huomioitava, että turvallisuusluokan I tietojen suojaamiseen riittävän luotettavia, hyväksyttyjä salausratkaisuja on saatavilla erittäin rajoitetusti. Tämä edellyttääkin tyypillisesti turvallisuusluokan I tietojen siirtämistä turvallisuusluokalle I hyväksytyllä kuriirimenettelyllä tilanteissa, joissa turvallisuusluokan I tietoa on tarve siirtää fyysisten turva-alueiden välillä.
</t>
  </si>
  <si>
    <t>Muutoshallintamenettelyt</t>
  </si>
  <si>
    <t xml:space="preserve">Tietojenkäsittely-ympäristöön tehtäviin muutoksiin on käytössä turvallisuuden huomioiva muutostenhallintamenettely.
</t>
  </si>
  <si>
    <t xml:space="preserve">Tietojenkäsittely-ympäristön tietoturvallisuuden ja muutosten luotettava hallinta edellyttää, että ympäristön tekninen rakenne ja esimerkiksi kaikki siihen kuuluvat laitteistot ja ohjelmistot ovat tiedossa. Tietojärjestelmien asetuksien ja toiminnan muuttumista tulee valvoa ja havaittujen muutosten tulee johtaa niiden oikeellisuuden tarkistamiseen. Ajantasaista kirjanpitoa vasten tarvittavat muutokset kyetään koko elinkaaren ajan kohdistamaan täsmällisesti, muutosten vaikutukset ovat helpommin ennustettavissa ja ympäristön turvallisuuden tarkastelu on mahdollista suorittaa. Kirjanpidon toteuttamisessa voi hyödyntää esimerkiksi verkkokuvia, laite- ja ohjelmistokomponenttiluetteloita sekä konfiguraatiotietokantoja.
Tietojenkäsittely-ympäristön tietoturvallisuudesta tulee pystyä varmistumaan koko elinkaaren ajan. Tämä edellyttää muutostarpeiden jatkuvaa seurantaa sekä säännöllisiä muutoksia. Muutostarpeita voi seurata esimerkiksi tietojenkäsittely-ympäristön järjestelmien elinkaaren päättymisestä tai nykyisten suojausten kyvyttömyydestä vastata uusiin hyökkäysmenetelmiin. Esimerkiksi ohjelmistojen päivitykset voivat aiheuttaa odottamattomia seurauksia, kuten turvallisuusasetusten ja käyttöoikeuksien muuttumista tai uusien turvattomien palvelujen mukaantuloa tietojenkäsittely-ympäristöön. Haitallisia seurauksia voidaan pyrkiä ennaltaehkäisemään esimerkiksi kattavalla testauksella ja muutoslokien (tyypillisesti esim. changelog, readme) tarkastelulla. Haitallisia seurauksia voidaan pyrkiä havainnoimaan esimerkiksi (testiympäristöön asennettujen) päivitysten jälkeisten konfiguraatioiden tarkastelulla, sekä muun muassa automatisoiduilla skannauksilla ja konfiguraatiovertailuilla. 
Laitteiston suojauksessa luvattomien laitteiden kytkemistä vastaan voidaan hyödyntää esimerkiksi
a) laitteiden sijoittamista sinetöityyn ja/tai hälytyslaitteella varustettuun turvakehikkoon tai vastaavaan,
b) peukalointia vastaan suojattujen laitteiden käyttämistä, tai
c) jotain vastaavaa menettelyä (esim. käytettävien laitteiden sinetöintiä). Käytettäessä sinetöintiin perustuvaa menetelmää, tulisi sinettien eheyden tarkastamiseen olla säännöllinen prosessi.
Luvattomien muutosten tai laitteistojen tarkasteluun hyväksyttävissä oleva tarkastustiheys riippuu kyseessä olevassa kohteessa toteutetuista menetelmistä, joilla rajoitetaan ja valvotaan kohteeseen (tietojärjestelmä, fyysinen tila) pääsyä. Useimmissa ympäristöissä voi riittää tarkastukset esimerkiksi puolivuosittain tai vuosittain. 
Luvattomien laitteistojen kytkemistä vastaan suojautumisessa tulee huomioida myös henkilöstön ohjeistus. On otettava huomioon, että päätelaitteisiin ei saa kytkeä muita kuin kyseisen turvallisuusluokan tietojenkäsittely-ympäristöön hyväksyttyjä oheislaitteita (esim. näyttö, näppäimistö, hiiri) ja medioita (esimerkiksi vain kyseiseen ympäristöön hyväksytty USB-muisti). Erityisesti tilanteissa, joissa päätelaitetta käytetään matalamman turvallisuusluokan fyysisessä tilassa, ei yleensä ole mahdollista käyttää ko. tilassa säilytettäviä oheislaitteita tai medioita.
</t>
  </si>
  <si>
    <t xml:space="preserve">1) Tietojenkäsittely-ympäristön kokoonpanosta on olemassa ajantasainen kirjanpito. Kirjanpidolla tarkoitetaan laitteisto- ja ohjelmistokirjanpitoa, sekä tietoa turvallisuuteen vaikuttavista konfiguraatioista ja menettelyistä.
2) Tietojenkäsittelyyn ja tietojenkäsittely-ympäristöön liittyviin muutoksiin on käytössä muutostenhallintamenettely. Muutokset ovat jäljitettävissä.
3) On olemassa menetelmät, joilla varmistetaan tietojenkäsittely-ympäristön turvallisuustason säilyminen tehtyjen muutosten yhteydessä.
</t>
  </si>
  <si>
    <t xml:space="preserve">TihL 13 §, 15 §
</t>
  </si>
  <si>
    <t xml:space="preserve">ISO/IEC 27002:2022 5.9, 5.36, 5.37, 8.19, 8.29, 8.32; Tiedonhallintalautakunta: Suosituskokoelma tiettyjen
tietoturvallisuussäädösten soveltamisesta (2020:21, luku 5); PiTuKri MH-01
</t>
  </si>
  <si>
    <t>I-03, I-05, I-16, I-17, I-18, T-04, T-12</t>
  </si>
  <si>
    <t>TEK-17.1</t>
  </si>
  <si>
    <t>Muutoshallintamenettelyt - uudelleenarviointi</t>
  </si>
  <si>
    <t xml:space="preserve">Tietoturvallisuutta koskevat tarkastukset ja uudelleentarkastelut suoritetaan määräajoin tietojenkäsittely-ympäristön toiminnan ja huollon aikana sekä poikkeuksellisten tilanteiden ilmetessä.
</t>
  </si>
  <si>
    <t>TihL 13 § 1 mom</t>
  </si>
  <si>
    <t>I-16</t>
  </si>
  <si>
    <t>Muutoshallintamenettelyt - dokumentointi</t>
  </si>
  <si>
    <t xml:space="preserve">Tietojenkäsittely-ympäristön turvallisuusasiakirjoja kehitetään sen elinkaaren aikana erottamattomana osana muutosten- ja asetustenhallintaprosessia.
</t>
  </si>
  <si>
    <t>TihL 5 § 2 mom</t>
  </si>
  <si>
    <t>ISO/IEC 27002:2022 8.9, 8.32</t>
  </si>
  <si>
    <t>TEK-17.3</t>
  </si>
  <si>
    <t>Muutoshallintamenettelyt - TL IV</t>
  </si>
  <si>
    <t xml:space="preserve">1) Tietojenkäsittely-ympäristö on dokumentoitu sellaisella tasolla, että siitä pystytään selvittämään tietojenkäsittely-ympäristössä käytetyt laitteet ja ohjelmistot versiotietoineen (laite-, käyttöjärjestelmä- ja sovellusohjelmistot) ja se tukee myös haavoittuvuuksien hallintaa. 
2) Tietojenkäsittely-ympäristöjä tarkkaillaan luvattomien muutosten tai laitteistojen havaitsemiseksi. Tietojenkäsittely-ympäristön kirjanpito pidetään ajan tasalla koko elinkaaren ajan.
3) Tietojenkäsittely-ympäristön turvallisuuden toteuttamiseen liittyvän aineiston (dokumentaatiot, sähköiset kirjanpidot ja vast.) luokittelu- ja suojaamistarpeet on määritetty. 
</t>
  </si>
  <si>
    <t xml:space="preserve">ISO/IEC 27002:2022 5.9, 8.8
</t>
  </si>
  <si>
    <t>TEK-17.4</t>
  </si>
  <si>
    <t>Muutoshallintamenettelyt - TL II</t>
  </si>
  <si>
    <t>1) Laitteistot suojataan luvattomien laitteiden (näppäilynauhoittimet, langattomat lähettimet ml. mobiililaitteet ja vastaavat) liittämistä vastaan.</t>
  </si>
  <si>
    <t>TEK-18</t>
  </si>
  <si>
    <t>Etäkäyttö</t>
  </si>
  <si>
    <t xml:space="preserve">Etäkäytössä käyttäjät ohjeistettu ja tunnistetaan riittävän luotettavasti.
</t>
  </si>
  <si>
    <t xml:space="preserve">Etäkäytöllä ja -hallinnalla tarkoitetaan perinteisessä merkityksessään organisaation toimitilojen ulkopuolelta tapahtuvaa tietojärjestelmien käyttöä/hallintaa tätä tarkoitusta varten hankitulla päätelaitteella. Normaalisti päätelaitteena toimii organisaation henkilön käyttöön antama kannettava tietokone. Turvallisuusluokitellun tiedon osalta etäkäyttö soveltuu perinteisessä merkityksessään vain turvallisuusluokan IV tiedoille. 
Henkilöstön koulutuksessa ja ohjeistuksessa on huomioitava erityisesti salassa pidettävien tietojen suojaaminen sivullisilta. Sivullisilta suojaamiseen sisältyy muun muassa mahdollisten käsittelypaikkojen valinta ja erilaisiin paikkoihin liittyvät rajoitteet käsittelylle (salakatselun ja salakuuntelun estäminen), päätelaitteiden ja muiden työvälineiden suojaaminen varkauksilta ja peukaloinneilta (säilytys vain lukitussa tilassa ja aina muistialueiden salaus aktivoituna, sekä esimerkiksi suojapakkausten ja -koteloiden käyttö), sekä muut kyseisten päätelaitteiden ja muiden työvälineiden turvallisen käytön menettelyt.
</t>
  </si>
  <si>
    <t xml:space="preserve">1) Etäkäytössä käyttäjät tunnistetaan luotettavasti.
2) Etäkäyttö on ohjeistettu ja sitä valvotaan.
</t>
  </si>
  <si>
    <t xml:space="preserve">TihL 4 § 2 mom, 13 § 1 mom; TLA 10 § 1 mom
</t>
  </si>
  <si>
    <t>CPNI: Personnel Security in Remote Working; CPNI: Configuring and managing Remote Access for Industrial Control Systems; CPNI: Physical Security Advice; ISO/IEC 27002:2022 5.10, 5.37, 6.3, 6.7, 7.1, 7.8, 7.9, 7.10, 8.1; PiTuKri IP-03, JT-05, SA-02</t>
  </si>
  <si>
    <t>HAL-12, HAL-13, HAL-19</t>
  </si>
  <si>
    <t>I-17, I-18</t>
  </si>
  <si>
    <t>TEK-18.1</t>
  </si>
  <si>
    <t>Etäkäyttö - tietojen ja tietoliikenteen salaaminen</t>
  </si>
  <si>
    <t xml:space="preserve">Turvallisuusalueen ulkopuolella etäkäytössä käytettävät päätelaitteet, muistivälineet ja tietoliikenneyhteydet ovat suojattu käyttäen sellaisia salausratkaisuja, joissa ei ole tunnettuja haavoittuvuuksia ja jotka tukevat valmistajilta saatujen tietojen mukaan moderneja salausvahvuuksia ja -asetuksia.
</t>
  </si>
  <si>
    <t xml:space="preserve">Siirrettävien tietovälineiden (kiintolevyt, USB-muistit ja vastaavat) osalta voidaan sallia salaamattomien laitteiden käyttö siinä tapauksessa, että tietovälineitä ei koskaan jätetä valvomatta hyväksyttyjen turvallisuusalueen ulkopuolella.
</t>
  </si>
  <si>
    <t xml:space="preserve">1) Päätelaitteessa olevat tiedot tulee olla suojattu salausratkaisulla, jossa ei ole tunnettuja haavoittuvuuksia ja joka tukee valmistajalta saatujen tietojen mukaan moderneja salausvahvuuksia ja -asetuksia.
2) Järjestelmien etäkäyttö edellyttää tietoliikenteen salausratkaisua, jossa ei ole tunnettuja haavoittuvuuksia ja joka tukee valmistajalta saatujen tietojen mukaan moderneja salausvahvuuksia ja -asetuksia.
3) Tietovälineitä ei saa jättää valvomatta, elleivät turvallisuusalueiden ulkopuolelle viedyt salassa pidettävää tietoa sisältävät tietovälineet (kiintolevyt, USB-muistit ja vastaavat) ole salattuja ratkaisulla, jossa ei ole tunnettuja haavoittuvuuksia ja joka tukee valmistajalta saatujen tietojen mukaan moderneja salausvahvuuksia ja -asetuksia.
</t>
  </si>
  <si>
    <t>TihL 13 § 1 mom, 15 § 2 mom; TLA 10 §, 11 §, 12 §, 13 §</t>
  </si>
  <si>
    <t>ISO/IEC 27002:2022 7.9, 7.10, 8.1</t>
  </si>
  <si>
    <t>TEK-18.2</t>
  </si>
  <si>
    <t>Etäkäyttö - turvallisuusluokitettujen tietojen ja tietoliikenteen salaaminen</t>
  </si>
  <si>
    <t xml:space="preserve">Turvallisuusalueen ulkopuolella etäkäytössä käytettävät päätelaitteet, muistivälineet ja tietoliikenneyhteydet ovat suojattu käyttäen ko. turvallisuusluokan huomioiden riittävän turvallisia salausratkaisuja.
</t>
  </si>
  <si>
    <t xml:space="preserve">Siirrettävien tietovälineiden (kiintolevyt, USB-muistit ja vastaavat) osalta voidaan sallia salaamattomien laitteiden käyttö siinä tapauksessa, että tietovälineitä ei koskaan jätetä valvomatta hyväksyttyjen turva-alueiden ulkopuolella.
</t>
  </si>
  <si>
    <t xml:space="preserve">1) Päätelaitteessa olevat tiedot tulee olla suojattu kyseiselle turvallisuusluokalle riittävän turvallisella salausratkaisulla, ja päätelaitteen ko. turvallisuusluokalle riittävästä eheydestä tulee huolehtia.
2) Järjestelmien etäkäyttö edellyttää ko. turvallisuusluokan tietojen suojaamiseen riittävän turvallista liikenteen salausta.
3) Elleivät turvallisuusalueiden ulkopuolelle viedyt turvallisuusluokiteltua tietoa sisältävät tietovälineet (kiintolevyt, USB-muistit ja vastaavat) ole salattu ko. turvallisuusluokalle riittävän turvallisella menetelmällä, tietovälineitä ei jätetä valvomatta.
</t>
  </si>
  <si>
    <t>TEK-18.3</t>
  </si>
  <si>
    <t>Etäkäyttö - käyttäjien vahva tunnistaminen</t>
  </si>
  <si>
    <t xml:space="preserve">Etäkäytössä järjestelmien käyttäjät tunnistetaan käyttäen vahvaa, vähintään kahteen todennustekijään perustuvaa käyttäjätunnistusta. 
</t>
  </si>
  <si>
    <t xml:space="preserve">TLA 10 §, 11 § 1 mom 5 k
</t>
  </si>
  <si>
    <t>F-04, I-18</t>
  </si>
  <si>
    <t>TEK-18.4</t>
  </si>
  <si>
    <t>Etäkäyttö - hyväksytyt laitteet</t>
  </si>
  <si>
    <t xml:space="preserve">Etäkäytössä käytetään vain käyttöympäristöön hyväksyttyjä ja tunnistettuja laitteita.
</t>
  </si>
  <si>
    <t xml:space="preserve">Vain käyttöympäristöön hyväksyttyjä laitteita ja etäyhteyksiä käytetään.
</t>
  </si>
  <si>
    <t>TLA 10 §, 11 § 1 mom 5 k</t>
  </si>
  <si>
    <t>TEK-18.5</t>
  </si>
  <si>
    <t>Etäkäyttö - turvallisuusluokitellun tiedon käyttö julkisella paikalla</t>
  </si>
  <si>
    <t xml:space="preserve">Turvallisuusluokiteltuja tietoja ei lueta tai muuten käsitellä matkalla tai julkisilla paikoilla.
</t>
  </si>
  <si>
    <t xml:space="preserve">TLA 10 § 1 mom, 13 §
</t>
  </si>
  <si>
    <t>TEK-18.6</t>
  </si>
  <si>
    <t>Etäkäyttö - laitetunnistus</t>
  </si>
  <si>
    <t xml:space="preserve">Turvallisuusluokkien III ja II käsittely-ympäristöissä sekä muissa kriittisissä käsittely-ympäristöissä edellytetään käytön teknistä sitomista hyväksyttyyn etäkäyttölaitteistoon (esim. laitetunnistus).
</t>
  </si>
  <si>
    <t xml:space="preserve">Etäkäyttö on estetty teknisesti muita kuin hyväksyttyjä laitteita käyttäen.
</t>
  </si>
  <si>
    <t>TEK-18.7</t>
  </si>
  <si>
    <t>Etäkäyttö - TL III</t>
  </si>
  <si>
    <t xml:space="preserve">Turvallisuusluokan III sähköisten tietojen etäkäyttö (käsittely) ja säilytys on mahdollista kyseisen turvallisuusluokan mukaisessa päätelaitteessa turva-alueiden ulkopuolella edellyttäen, että a) tiedot on suojattu ko. turvallisuusluokalle riittävän turvallisella salausratkaisulla, ja että b) päätelaitteen tietoturvallisuudesta, erityisesti ko. turvallisuusluokalle edellytettävästä luottamuksellisuudesta ja eheydestä on huolehdittu riittävin menettelyin.
</t>
  </si>
  <si>
    <t xml:space="preserve">TLA 10 § (TL III)
</t>
  </si>
  <si>
    <t>TEK-18.8</t>
  </si>
  <si>
    <t>Etäkäyttö - etäkäyttö turvallisuusalueella</t>
  </si>
  <si>
    <t xml:space="preserve">Järjestelmien etäkäyttö rajataan toimivaltaisen viranomaisen hyväksymälle turvallisuusalueelle.
</t>
  </si>
  <si>
    <t>Tiedon käsittely edellyttää fyysisesti suojattua turvallisuusaluetta tai korvaavia menettelyjä, joilla saavutetaan vastaavat fyysisen turvallisuuden olosuhteet.</t>
  </si>
  <si>
    <t xml:space="preserve">TLA 10 § (TL II)
</t>
  </si>
  <si>
    <t>TEK-18.9</t>
  </si>
  <si>
    <t>Etäkäyttö - TL I</t>
  </si>
  <si>
    <t xml:space="preserve">Turvallisuusluokan I tietoa saa säilyttää tai muutoin käsitellä ainoastaan turva-alueilla (TLA, 10 §), mikä asettaa rajoitteet myös etäkäytön mahdollisuuksille.
</t>
  </si>
  <si>
    <t xml:space="preserve">TLA 10 § (TL I)
</t>
  </si>
  <si>
    <t>TEK-19</t>
  </si>
  <si>
    <t>Ohjelmistohaavoittuvuuksien hallinta</t>
  </si>
  <si>
    <t xml:space="preserve">Tietojenkäsittely-ympäristön koko elinkaaren ajalle toteutetaan luotettavat menettelyt ohjelmistohaavoittuvuuksien hallitsemiseksi.
</t>
  </si>
  <si>
    <t xml:space="preserve">Ohjelmistohaavoittuvuuksien hyödyntäminen on useissa hyökkäystyypeissä jossain vaiheessa mukana. On huomioitava, että haavoittuvaa lähdekoodia on niin käyttöjärjestelmäohjelmistoissa, palvelinsovelluksissa, loppukäyttäjäsovelluksissa, kuin esimerkiksi laiteohjelmistotason (firmware) sovelluksissa ja ajureissa, BIOS:issa ja erillisissä hallintaliittymissä (esim. iLo, iDrac). Ohjelmistovirheiden lisäksi haavoittuvuuksia aiheutuu konfiguraatiovirheistä ja vanhoista käytänteistä, esimerkiksi vanhentuneiden salausalgoritmien käytöstä. Vastuulliset toimittajat korjaavat ohjelmistoistaan löytyneitä haavoittuvuuksia. Riskejä voidaan pienentää korjausten asennuksilla. Haavoittuvuuden hallintaa toteuttaessa tulee huolehtia haavoittuvuusskannerin, CMDB:n ja muiden järjestelmien ajantasaisuudesta ja tietoturvallisuudesta.
Haavoittuvuuksien hallinnan tulisi tähdätä tarkan tilannekuvan muodostamiseen siten, että toimintaan liittyy ohjelmisto- ja järjestelmäympäristön jatkuva seuranta ja kehittäminen. Osana tilannekuvan ylläpitoa havaittujen puutteiden ja erilaisten haavoittuvuuksien aiheuttama riski tulisi arvioida suhteessa käyttöympäristöön ja asettaa korjaavat toimenpiteet perustuen tämän arvion kriittisyyteen. Korjaavia toimenpiteitä ovat mm. ohjelmistotoimittajien haavoittuvuuskorjaukset, päivitykset ja konfiguraatiomuutokset, jotka tähtäävät riskin poistamiseen tai rajaamiseen. Lisäksi on syytä seurata käytettävien ohjelmistoversioiden tukea niiden toimittajalta. Vanhentuneisiin ohjelmistoversioihin ei julkaista aktiivisesti päivityksiä, jolloin myös tietoturvahaavoittuvuuksien korjaaminen voi olla mahdotonta. Tehokas prosessimainen haavoittuvuuksien hallinta edellyttää organisoitua ja vastuutettua toimintamallia, sekä yleensä myös organisaation sisäisten ja ulkoisten sidosryhmien yhteistyötä.
Huomioitavaa erityisesti pilviteknologiaa hyödyntävissä toteutuksissa:
- Turvapäivitysten asennuksessa voidaan hyödyntää myös menettelyä, jossa esimerkiksi virtuaalikoneista ylläpidetään luotettua, turvapäivitysten tasolla olevaa levykuvaa (golden image), ja käytössä olevat virtuaalikoneet korvataan tällä ajantasaisella levykuvalla säännöllisesti. Tässä ratkaisumallissa erityisesti huolellisuutta tulee kohdistaa menettelyihin, joilla pyritään varmistamaan levykuvan eheys.
- Asiakkaan vastuulla olevan osuuden arvioinnissa suositellaan huomioitavaksi erityisesti, että vastaavat vaatimukset koskevat myös asiakasta ja asiakkaan osuuteen liittyviä mahdollisia palveluntarjoajia.
</t>
  </si>
  <si>
    <t xml:space="preserve">Vaatimus voidaan toteuttaa siten, että haavoittuvuuksien hallintaan on olemassa prosessi, joka sisältää vähintään alla mainitut toimenpiteet:
1) Viranomaisten, laite- ja ohjelmistovalmistajien sekä muiden vastaavien tahojen tietoturvatiedotteita seurataan aktiivisesti ja tarpeellisiksi arvioidut turvapäivitykset asennetaan hallitusti.
2) Päivitysten asentumisen onnistumista tarkastellaan säännöllisesti, vähintään kuukausittain.
3) Verkko ja sen palvelut, palvelimet sekä verkkoon kytketyt työasemat, kannettavat tietokoneet, tulostimet, mobiililaitteet ja vastaavat tarkastetaan kattavasti vähintään (haavoittuvuusskannaus) vuosittain ja aina merkittävien muutosten jälkeen päivitysmenettelyjen korjauskohteiden löytämiseksi. 
4) Löytyneiden haavoittuvuuksien sekä päivitysmenettelyjen puutteiden käsittely on järjestetty siten, että tietojenkäsittely-ympäristön suojaamiseen oleellisesti vaikuttavat heikkoudet poistetaan, korjataan tai muuten rajoitetaan siten, että turvallisuusluokiteltujen tietojen käsittely ei tarpeettomasti vaarannu.
</t>
  </si>
  <si>
    <t xml:space="preserve">TihL 13 §; TLA 11 § 1 mom 2 k
</t>
  </si>
  <si>
    <t xml:space="preserve">ISO/IEC 27002:2022 8.8; Tiedonhallintalautakunnan suositus (2020:21, luku 5); PiTuKri KT-04
</t>
  </si>
  <si>
    <t>HAL-16, HAL-16.1</t>
  </si>
  <si>
    <t>I-19</t>
  </si>
  <si>
    <t>TEK-19.1</t>
  </si>
  <si>
    <t>Ohjelmistohaavoittuvuuksien hallinta - TL IV</t>
  </si>
  <si>
    <t xml:space="preserve">Tietojenkäsittely-ympäristön laitteet tarkastetaan kattavasti ohjelmistohaavoittuvuuksien varalta vähintään vuosittain ja merkittävien muutosten yhteydessä.
</t>
  </si>
  <si>
    <t xml:space="preserve">1) Verkko ja sen palvelut, palvelimet sekä verkkoon kytketyt työasemat, kannettavat tietokoneet, tulostimet, mobiililaitteet ja vastaavat tarkastetaan kattavasti vähintään (haavoittuvuusskannaus, CMDB jne.) vuosittain ja aina merkittävien muutosten jälkeen päivitysmenettelyjen korjauskohteiden löytämiseksi. 
2) Laitteisto- ja ohjelmistokirjanpidon (ml. CMDB) sekä skannausohjelmiston ajantasaisuudesta ja tietoturvallisuudesta on huolehdittu.
</t>
  </si>
  <si>
    <t>TihL 13 §; TLA 11 § 1 mom 2 k</t>
  </si>
  <si>
    <t>TEK-19.2</t>
  </si>
  <si>
    <t>Ohjelmistohaavoittuvuuksien hallinta - TL III</t>
  </si>
  <si>
    <t xml:space="preserve">Tietojenkäsittely-ympäristön laitteet tarkastetaan kattavasti ohjelmistohaavoittuvuuksien varalta vähintään puolivuosittain ja merkittävien muutosten yhteydessä.
</t>
  </si>
  <si>
    <t xml:space="preserve">Verkko ja sen palvelut, palvelimet sekä verkkoon kytketyt työasemat, kannettavat tietokoneet, tulostimet, mobiililaitteet ja vastaavat tarkastetaan kattavasti vähintään (haavoittuvuusskannaus, CMDB jne.) puolivuosittain ja aina merkittävien muutosten jälkeen päivitysmenettelyjen korjauskohteiden löytämiseksi. "Merkittäviin muutoksiin" voidaan laskea esimerkiksi verkkotopologian muutokset, uusien järjestelmien käyttöönotot ja/tai vanhojen service pack -tason päivitykset, palomuurien ja vastaavien suodatussääntöjen merkittävät muutokset, jne.
</t>
  </si>
  <si>
    <t>TEK-20</t>
  </si>
  <si>
    <t>Varmuuskopiointi</t>
  </si>
  <si>
    <t xml:space="preserve">Varmistus- ja palautusprosessit on suunniteltu, toteutettu, testattu ja kuvattu siten, että ne vastaavat lainsäädännön ja toiminnan vaatimuksia.
</t>
  </si>
  <si>
    <t xml:space="preserve">Varmuuskopiointi suositellaan aina mitoitettavan toimintavaatimuksiin. Toimintavaatimuksiin nähden riittävässä varmuuskopioinnissa tulisi huomioida ainakin seuraavat:
1) Varmistusten taajuus on riittävä varmistettavan tiedon kriittisyyteen nähden. Edellyttää selvitystä siitä, kuinka paljon dataa voidaan menettää (recovery point objective, RPO). 
2) Varmuuskopiot kattavat kaiken järjestelmän toiminnan jatkuvuuden kannalta olennaisen tiedon.
3) Palautusprosessin nopeus on riittävä toimintavaatimuksiin nähden. Edellyttää selvitystä siitä, kuinka kauan palautuminen voi kestää (recovery time objective, RTO).
4) Varmuuskopioinnin ja palautusprosessin oikea toiminta testataan säännöllisesti. 
5) Palautusprosessin dokumentointi on riittävällä tasolla.
6) Varmuuskopioiden fyysinen sijoituspaikka on riittävän eriytetty varsinaisesta järjestelmästä (eri sortuma-/palotila, välimatka varmuuskopion ja varsinaisen tilan välillä, jne.). Huom. Varmuuskopiot tulisi suojata fyysisen ja loogisen pääsynhallinnan menetelmin vähintään tiedon (mahdollisesti kasautumisvaikutuksen nostaman) turvallisuusluokan mukaisesti.
</t>
  </si>
  <si>
    <t xml:space="preserve">Vaatimus voidaan täyttää siten, että toteutetaan alla mainitut toimenpiteet:
1) Varmuuskopiot käsitellään ja säilytetään niiden elinkaaren ajan vähintään vastaavan turvallisuustason järjestelmissä.
2) Mikäli varmuuskopioita siirretään ko. turvallisuusluokan fyysisesti suojatun turvallisuusalueen ulkopuolelle, on menettelyt toteutettava kohtien TEK-16:ssa (sähköinen välitys) ja/tai FYY-08 (posti/kuriiri) sekä TEK-18 (kuljetus fyysisesti suojatun alueen ulkopuolelle).
3) Varmistusmediat hävitetään luotettavasti.
4) Järjestelmän ja tiedon palauttamista testataan säännöllisesti esimerkiksi automatisoidusti, jotta tieto voidaan palauttaa oikeaan tilaansa eheyden varmistamiseksi.
</t>
  </si>
  <si>
    <t xml:space="preserve">TihL 13 § 1 mom, 15 § 1 mom; TLA 2 § 2 mom, 7 §, 11 § 1 mom 4 k
</t>
  </si>
  <si>
    <t xml:space="preserve">ISO/IEC 27002:2022 8.13; Tiedonhallintalautakunta: Suosituskokoelma tiettyjen tietoturvallisuussäädösten soveltamisesta (2020:21, luku 5); PiTuKri KT-03
</t>
  </si>
  <si>
    <t>VAR-09</t>
  </si>
  <si>
    <t>I-20</t>
  </si>
  <si>
    <t>TEK-20.1</t>
  </si>
  <si>
    <t>Varmuuskopiointi -TL IV</t>
  </si>
  <si>
    <t xml:space="preserve">Käsiteltäessä samalla varmistusjärjestelmällä eri omistajien tietoja, tarkastusoikeuden mahdollistavat erottelumenettelyt on toteutettava varmistusjärjestelmän liittymien ja tallennemedioiden osalta (esim. omistaja-/hankekohtaiset eri avaimilla salatut nauhat, joita säilytetään asiakaskohtaisissa kassakaapeissa/kassakaappilokeroissa).
</t>
  </si>
  <si>
    <t xml:space="preserve">Käsiteltäessä samalla varmistusjärjestelmällä tarkastusoikeuden varaavien eri omistajien tietoja, tarkastusoikeuden mahdollistavat erottelumenettelyt on toteutettava ko. turvallisuusluokan mukaisesti varmistusjärjestelmän liittymien ja tallennemedioiden osalta.
</t>
  </si>
  <si>
    <t xml:space="preserve">TihL 13 § 1 mom, 16 §; TLA 7 §, 10 § 1 mom, 11 § 1 mom 3 k
</t>
  </si>
  <si>
    <t>I-06, I-20</t>
  </si>
  <si>
    <t>TEK-20.2</t>
  </si>
  <si>
    <t>Varmuuskopiointi - varmuuskopioiden rekisteröinti ja käsittelyn seuranta</t>
  </si>
  <si>
    <t xml:space="preserve">Varmuuskopioista on rekisterit ja varmuuskopioiden käsittely kirjataan sähköiseen lokiin, tietojärjestelmään, asianhallintajärjestelmään, manuaaliseen diaariin tai tietoon (esimerkiksi dokumentin osaksi).
</t>
  </si>
  <si>
    <t>TLA 14 §</t>
  </si>
  <si>
    <t>F-08.3, I-20</t>
  </si>
  <si>
    <t>Sähköisessä muodossa olevien tietojen tuhoaminen</t>
  </si>
  <si>
    <t xml:space="preserve">Sähköisessä muodossa olevien tietojen tuhoaminen on järjestetty luotettavasti. Salassa pidettävien tietojen tuhoamisessa käytetään menetelmiä, joilla estetään tietojen kokoaminen uudelleen kokonaan tai osittain.
</t>
  </si>
  <si>
    <t>Tiedon suojaamisesta tulee huolehtia tiedon elinkaaren päättymiseen asti. Tämä tulee huomioida erityisesti tilanteissa, joissa käytetään kolmannen osapuolen palvelua tiedon tuhoamiseen, esimerkiksi kiintolevyjen sulattamiseen. Käytännön toteutusmallina yleensä menettely, jossa tiedosta vastuussa oleva organisaatio valvoo tiedon tuhoamisprosessin aina elinkaaren päättymiseen saakka.
Tiedon turvallinen tuhoaminen tulee huomioida myös laitteiden elinkaaren hallinnassa ja hävittämisessä mukaan lukien oheislaitteet ja erilaiset muistivälineet. 
Myös henkilöstön rooli on syytä huomioida tuhoamisprosesseissa. Organisaation tulee järjestää henkilöstölle yksikäsitteinen tapa tietojen tuhoamiseen.
+N79</t>
  </si>
  <si>
    <t xml:space="preserve">Tuhoaminen eri menetelmiä yhdistäen
Tuhoamiseen voidaan käyttää silppuamisen korvaavana tai sitä tukevana suojauksena myös muita menetelmiä, joilla tietojen kokoaminen estetään luotettavasti (esimerkiksi silputun kiintolevyn sulattaminen). Myös salauksella pystytään pienentämään huomattavasti tietoon kohdistuvia riskejä tiedon ja laitteistojen elinkaarten eri vaiheissa.
Sähköisessä muodossa olevien tietojen tuhoamisessa huomioon otettavaa
Sähköisessä muodossa olevien tietojen luotettavan tuhoamisen menettelyjen tulisi kattaa kaikki laitteistot, joihin on elinkaarensa aikana tallennettu turvallisuusluokiteltua tietoa. Laitteistojen osien (kiintolevyt, muistit, muistikortit, jne.) sisältämän turvallisuusluokitellun tiedon luotettavasta tuhoamisesta on huolehdittava erityisesti käytöstä poiston, huoltoon lähetyksen tai uusiokäyttöön siirron yhteydessä. Mikäli luotettava tyhjennys (esimerkiksi riittävän turvallinen ylikirjoitusmenettely) ei ole mahdollista, turvallisuusluokiteltua tietoa sisältävää osaa ei tule luovuttaa kolmansille osapuolille. Tilanteissa, joissa laitteen muistia tai vastaavaa ei voida luotettavasti tyhjentää ennen huoltotoimenpiteitä, tulisi kolmannen osapuolen suorittamia huoltotoimenpiteitä valvoa, ja pyrkiä varmistumaan siitä, että turvallisuusluokiteltua tietoa ei viedä huoltotoimenpiteen yhteydessä.
</t>
  </si>
  <si>
    <t xml:space="preserve">TihL 21 § 2 mom; TLA 15 §
</t>
  </si>
  <si>
    <t xml:space="preserve">Traficom: Kiintolevyjen elinkaaren hallinta (26.10.2016); CPNI: Secure destruction of sensitive items (2017); ISO/IEC 27002:2022 7.10, 7.14; Tiedonhallintalautakunta: Suosituskokoelma tiettyjen tietoturvallisuussäädösten soveltamisesta (2020:21, luku 4); PiTuKri SI-02
</t>
  </si>
  <si>
    <t>FYY-11, FYY-11.1, FYY-11.2, FYY-11.3</t>
  </si>
  <si>
    <t>T-12, F-08.3, F-08.4, I-21</t>
  </si>
  <si>
    <t>TEK-21.1</t>
  </si>
  <si>
    <t>Sähköisessä muodossa olevien tietojen tuhoaminen - arkistointi</t>
  </si>
  <si>
    <t xml:space="preserve">Tietojen arkistointivelvollisuus on huomioitu tiedon elinkaaren hallinnassa.
</t>
  </si>
  <si>
    <t>TihL 21 §</t>
  </si>
  <si>
    <t>TEK-21.2</t>
  </si>
  <si>
    <t>Sähköisessä muodossa olevien tietojen tuhoaminen - pilvipalveluissa olevan tiedon tuhoaminen</t>
  </si>
  <si>
    <t xml:space="preserve">Huomioitavaa erityisesti pilviteknologiaa hyödyntävissä toteutuksissa:
- Mikäli turvallisuusluokittelemattomat salassa pidettävät tiedot on tallennettu pilvipalveluun vain riittävän luotettavaksi arvioidussa salatussa muodossa, jäännösriskit saattavat olla hyväksyttävissä, mikäli salaukseen käytetty avaimisto pystytään luotettavasti tuhoamaan. Menettely voi soveltua myös henkilötietojen tuhoamiseen niiden lakisääteisen säilytysajan jälkeen.
</t>
  </si>
  <si>
    <t xml:space="preserve">TihL 21 § 2 mom
</t>
  </si>
  <si>
    <t>ISO/IEC 27002:2022 5.23; PiTuKri SA-03</t>
  </si>
  <si>
    <t>TEK-21.3</t>
  </si>
  <si>
    <t>Sähköisessä muodossa olevien tietojen tuhoaminen - TL IV</t>
  </si>
  <si>
    <t xml:space="preserve">Tuhoaminen ylikirjoittamalla
Tuhottaessa turvallisuusluokiteltua materiaalia ylikirjoittamalla, suositellaan noudatettavaksi Kyberturvallisuuskeskuksen ohjeen "Kiintolevyjen elinkaaren hallinta" mukaisia vaatimuksia ylikirjoitukselle sekä muistivälineiden uusiokäytölle.
Tuhoaminen silppuamalla
Tuhottaessa turvallisuusluokiteltua materiaalia silppuamalla, noudatetaan suosituksen "VM 2021:5 Suositus turvallisuusluokiteltavien asiakirjojen käsittelystä" mukaisia vaatimuksia kyseisen turvallisuusluokan aineiston silppukoolle.
</t>
  </si>
  <si>
    <t>Traficom: Kiintolevyjen elinkaaren hallinta (26.10.2016); Tiedonhallintalautakunta: Suositus turvallisuusluokiteltavien asiakirjojen käsittelystä (2021:5)</t>
  </si>
  <si>
    <t>FYY-11.1, FYY-11.2, FYY-11.3</t>
  </si>
  <si>
    <t>I-21</t>
  </si>
  <si>
    <t>TEK-21.4</t>
  </si>
  <si>
    <t>Sähköisessä muodossa olevien tietojen tuhoaminen - toisen viranomaisen laatimat tiedot</t>
  </si>
  <si>
    <t xml:space="preserve">Jos tiedon on laatinut toinen viranomainen, tarpeettomaksi käyneen tiedon tuhoamisesta on ilmoitettava tiedon laatineelle viranomaiselle, jollei sitä palauteta tiedon laatineelle viranomaiselle.
</t>
  </si>
  <si>
    <t>TLA 15 § 2 mom</t>
  </si>
  <si>
    <t>TEK-21.5</t>
  </si>
  <si>
    <t>Sähköisessä muodossa olevien tietojen tuhoaminen - tuhoamisen suorittaja</t>
  </si>
  <si>
    <t xml:space="preserve">Tiedon tuhoamisen saa suorittaa vain henkilö, jonka viranomainen on tähän tehtävään määrännyt. Valmisteluvaiheen versiot voi tuhota ne laatinut henkilö.
</t>
  </si>
  <si>
    <t xml:space="preserve">TLA 15 § 2 mom
</t>
  </si>
  <si>
    <t>TEK-21.6</t>
  </si>
  <si>
    <t>Sähköisessä muodossa olevien tietojen tuhoaminen - TL I</t>
  </si>
  <si>
    <t xml:space="preserve">Turvallisuusluokan I sähköisessä muodossa olevan tiedon tuhoamisessa voidaan hyödyntää "VM 2021:5 Suositus turvallisuusluokiteltavien asiakirjojen käsittelystä" koottuja turvallisuusluokan II silppukokoja, mikäli suojausta täydennetään viranomaisen hyväksymillä menettelyillä. Tällaisia menettelyihin sisältyvät tyypillisesti muun muassa silpun jatkokäsittely valvotusti polttamalla tai sulattamalla.
</t>
  </si>
  <si>
    <t>TEK-22</t>
  </si>
  <si>
    <t>Tietojärjestelmien saatavuus</t>
  </si>
  <si>
    <t xml:space="preserve">Viranomaisen on varmistettava tietojärjestelmien saatavuus koko niiden elinkaaren ajan.
</t>
  </si>
  <si>
    <t xml:space="preserve">Saatavuusvaatimusten toteutuksen tulee huomioida tietojärjestelmältä edellytettävä kuormituksen kesto, vikasietoisuus ja palautumisaika.
</t>
  </si>
  <si>
    <t xml:space="preserve">Saatavuusvaatimukset on tunnistettu. On tunnistettu vähintään pisin aika, jonka järjestelmä voi olla pois käytöstä, palautusaikatavoite ja palautuspistetavoite.
</t>
  </si>
  <si>
    <t xml:space="preserve">TihL 13 § 1 mom, 15 § 1 mom 4 k
</t>
  </si>
  <si>
    <t>ISO/IEC 27002:2022 8.6, 8.14</t>
  </si>
  <si>
    <t>VAR-02</t>
  </si>
  <si>
    <t>TEK-22.1</t>
  </si>
  <si>
    <t>Tietojärjestelmien saatavuus - saatavuutta suojaavat menettelyt</t>
  </si>
  <si>
    <t xml:space="preserve">Saattavuutta suojaavien menettelyiden toteutus on suhteutettu palautusaikatavoitteeseen.
</t>
  </si>
  <si>
    <t xml:space="preserve">Saatavuutta suojaavat menettelyt on toteutettu järjestelmäkohtaisesti räätälöidyillä suojauksilla. Suojauksiin voi sisältyä esimerkiksi keskeisten verkkoyhteyksien, laitteistojen ja sovellusten ajoympäristöjen kahdentamiset.
</t>
  </si>
  <si>
    <t>TihL 13 § 1 mom, 15 § 1 mom 4 k</t>
  </si>
  <si>
    <t>ISO/IEC 27002:2022 5.30</t>
  </si>
  <si>
    <t>VAR-02, VAR-06, VAR-07, VAR-08</t>
  </si>
  <si>
    <t>TEK-22.2</t>
  </si>
  <si>
    <t>Tietojärjestelmien saatavuus - palveluiden valvonta</t>
  </si>
  <si>
    <t xml:space="preserve">Palveluiden ja tietojärjestelmien saatavuutta seurataan ja valvotaan niiden kriittisyyden edellyttämällä tasolla.
</t>
  </si>
  <si>
    <t xml:space="preserve">1) Jos palvelulla on saatavuus vaatimuksia, seurataan sen saatavuutta valvontajärjestelmällä.
2) Valvontajärjestelmän tulee lähettää hälyttää havaitusta saatavuuspoikkeamista.
</t>
  </si>
  <si>
    <t>ISO/IEC 27002:2022 8.16</t>
  </si>
  <si>
    <t>TEK-23</t>
  </si>
  <si>
    <t>Tietojärjestelmien toiminnallinen käytettävyys</t>
  </si>
  <si>
    <t xml:space="preserve">Viranomainen on varmistanut tehtävien hoitamisen kannalta olennaisten tietojärjestelmien vikasietoisuuden ja toiminnallisen käytettävyyden. 
</t>
  </si>
  <si>
    <t xml:space="preserve">Toiminnallisen käytettävyyden varmistamisessa on suositeltavaa käyttää niin teknisiä käytettävyystestauksia kuin käyttäjillä suoritettavia käytettävyystestejä tai heuristisia asiantuntija-arviointeja.
Räätälöidyissä järjestelmissä käytettävyys tulisi määritellä ja suunnitella organisaatiossa hyväksytyn menetelmän mukaan. Käytettävyyttä tulisi testata jatkuvasti kehittämisen aikana. Valmisohjelmistojen käytettävyys tulisi testata hyväksymistestauksen yhteydessä. Testaus tulisi toteuttaa erilaisten käyttäjäryhmien näkökulmasta. Käytettävyystestausta voidaan tehdä jo hankintavaiheessa, jolloin voidaan paremmin varmistaa hankittavan järjestelmän soveltuvuus käyttötarpeeseen.
Tiedonhallintalain täyttämistä voi tukea myös digitaalisten palvelujen tarjoamisesta annetun lain (306/2019) mukaisilla, yleisölle tarjottavien palvelujen saavutettavuutteen liittyvillä menettelyillä.
</t>
  </si>
  <si>
    <t xml:space="preserve">1) Viranomaisen tehtävien hoitamisen kannalta olennaiset tietojärjestelmät on tunnistettu. Olennaisiksi tunnistetuista tietojärjestelmistä on olemassa lista.
2) Olennaisiksi tunnistettujen tietojärjestelmien vikasietoisuus ja toiminnallinen käytettävyys varmistetaan testauksen avulla niin hankintavaiheessa kuin merkittävien ylläpitotoimien yhteydessä. Varmistamisessa huomioidaan erityisesti, että 
a) tietojärjestelmä on helposti opittava,
b) tietojärjestelmän toimintalogiikka on helposti muistettava,
c) tietojärjestelmän toiminta tukee niitä työtehtäviä, joissa käyttäjä järjestelmää hyödyntää ja
d) tietojärjestelmä edistää sen käytön virheettömyyttä.
</t>
  </si>
  <si>
    <t>TihL 13 § 2 mom</t>
  </si>
  <si>
    <t>HAL-17, HAL-17.1</t>
  </si>
  <si>
    <t>Lähtökohtien selvittäminen</t>
  </si>
  <si>
    <t>VAR-01</t>
  </si>
  <si>
    <t>Varautumista ohjaava lainsäädäntö</t>
  </si>
  <si>
    <t xml:space="preserve">Organisaatio on tunnistanut toimintaansa ja palveluihinsa liittyvät ICT-varautumista ohjaavan kansallisen ja EU-lainsäädännön sekä muut ICT-varautumiseen liittyvät normit.
</t>
  </si>
  <si>
    <t xml:space="preserve">Lainsäädäntö ja normit määrittävät minimitason ICT-varautumisen toteuttamiselle. Tämän lisäksi organisaation on huomioitava oman toimintansa erityispiirteistä nousevat tarpeet. Toimintojen sisäisten ja ulkoisten riippuvuussuhteiden ymmärtäminen on perusedellytys varautumisen kustannustehokkaalle johtamiselle.
</t>
  </si>
  <si>
    <t xml:space="preserve">Organisaatiossa selvitetään ICT-varautumiseen ja jatkuvuudenhallintaan liittyvä lainsäädäntö, määräykset, ohjeet, standardit ja sopimukset sekä mahdolliset kansainväliset velvoitteet. Erityisen tärkeää on, että sekä palvelua hankkiva että palvelua tuottava organisaatio tuntee palveluun vaikuttavat määräykset ja pitävät toisensa näistä tietoisina.
Organisaation toimintaa ohjaava lainsäädäntö ja muut ohjaavat asiakirjat on useimmiten tunnistettu ja listattu tietoturva- ja riskienhallintapolitiikan perusteissa. Strategioissa, periaatteissa ja toiminnan suunnittelussa on huomioitu valtioneuvostotason ohjausasiakirjoissa asetetut ICT-varautumista ohjaavat linjaukset.
</t>
  </si>
  <si>
    <t xml:space="preserve">TihL 4 § 2 mom 2 k; 13 § 1 mom
</t>
  </si>
  <si>
    <t xml:space="preserve">PiTuKri TJ-07, PiTuKri EE-02
</t>
  </si>
  <si>
    <t>Jatkuvuusvaatimusten määrittely</t>
  </si>
  <si>
    <t xml:space="preserve">Toiminnan ja siihen liittyvien olennaisten palvelujen ja tietojärjestelmien jatkuvuusvaatimukset on määritelty.
</t>
  </si>
  <si>
    <t xml:space="preserve">Palvelun tai järjestelmän palautumisajan tavoitteet tulee määrittää sen mukaisesti, miten pitkään organisaation toiminnan näkökulmasta järjestelmä voi pisimmillään olla poissa käytöstä. Toiminnan näkökulmasta tulee määrittää, miten paljon tai miten pitkältä ajalta tietoa voidaan menettää. 
</t>
  </si>
  <si>
    <t xml:space="preserve">Organisaation tulee määrittää jatkuvuusvaatimukset yhteistyössä riskienhallinnan, tietoturvan, tietosuojan, toiminnan sekä arkkitehtuurien kanssa.
Ydintoimintojen ja -prosessien suojattavat palvelut ja järjestelmät on tunnistettu ja niille on asetettu saatavuustavoitteet ydintoimintojen tai ydinprosessien vaatimusten mukaisesti.
Palautumistoimenpiteiden käynnistämiskyky on määritetty palveluittain.
</t>
  </si>
  <si>
    <t xml:space="preserve">TihL 4 § 2 mom 1 k, 13 § 1 ja 2 mom, 15 § 1 mom.
</t>
  </si>
  <si>
    <t>Suosituskokoelma tiettyjen tietoturvallisuussäännösten soveltamisesta 2021:65 luku 6 ja luku 11; ISO/IEC 27002:2022 5.30</t>
  </si>
  <si>
    <t>VAR-02.1</t>
  </si>
  <si>
    <t>Jatkuvuusvaatimusten määrittely - palveluiden siirrot</t>
  </si>
  <si>
    <t xml:space="preserve">Jatkuvuusvaatimuksissa on huomioitu palveluiden kotiuttamiset ja siirrot toiselle palveluntarjoajalle.
</t>
  </si>
  <si>
    <t>Palvelua hankittaessa tulee huomioida, että palvelua voi olla hankala kotiuttaa ja toimittajalukkoon jäänyttä palvelua vaikea siirtää toiselle palveluntarjoajalle. Erityisesti vaatimus tulee huomioida hankittaessa pilvipalveluita.</t>
  </si>
  <si>
    <t>TihL 4 § 2 mom 1 k, 13 § 1, 2 ja 4 mom, 15 § 1 mom.</t>
  </si>
  <si>
    <t xml:space="preserve">Pilvipalveluiden soveltamisohje 2020:73; ISO/IEC 27002:2022 5.23
</t>
  </si>
  <si>
    <t>Suunnittelu ja toteutus</t>
  </si>
  <si>
    <t>VAR-03</t>
  </si>
  <si>
    <t>Jatkuvuussuunnitelmat</t>
  </si>
  <si>
    <t xml:space="preserve">Jatkuvuussuunnitelmat on laadittu ja otettu käyttöön. 
</t>
  </si>
  <si>
    <t xml:space="preserve">Organisaation jatkuvuussuunnitelma sisältää periaatteet siitä, miten toiminta järjestetään suunnitelmallisesti eri tilanteissa. Organisaation jatkuvuussuunnittelussa tunnistetaan ne palvelut, joista organisaation ydintoiminnot ovat riippuvaisia, arvioidaan mitä vaikutuksia eripituisilla ICT-palvelujen katkoilla on organisaation ydintoimintoihin.
Jatkuvuussuunnitelmissa tulee huomioida myös tietoturvallisuuden vaaditun tason säilyminen poikkeustilanteiden aikana.
</t>
  </si>
  <si>
    <t>Jatkuvuussuunnitelmaan on kirjattu käytettävissä oleva henkilöstö, avainhenkilöt ja varahenkilöt sekä arvio heidän saatavuudestaan.
Jatkuvuussuunnitelmissa on kuvattu, miten toimitaan  häiriötilanteiden aikana sekä kuinka niiden jälkeen siirrytään takaisin normaaliin toimintaan. 
Organisaatiolla on tarvittaessa suunnitelma ICT-palvelujen tuotannon siirtämisestä toisiin tiloihin, mikäli nykyiset tilat muuttuvat käyttökelvottomiksi.
Jatkuvuussuunnitelmat yhteensovitetaan sidosryhmien kanssa riittävän laajasti koko toimintaketjussa.
Häiriötilanteiden viestinnän suunnittelu on osa jatkuvuussuunnitelmaa.</t>
  </si>
  <si>
    <t xml:space="preserve">TihL 4 § 2 mom 2 k,15 §
</t>
  </si>
  <si>
    <t>Suosituskokoelma tiettyjen tietoturvallisuussäännösten soveltamisesta 2021:65 luku 11; ISO/IEC 27002:2022 5.23</t>
  </si>
  <si>
    <t>VAR-03.1</t>
  </si>
  <si>
    <t>Jatkuvuussuunnitelmien testaus ja harjoittelu</t>
  </si>
  <si>
    <t xml:space="preserve">Jatkuvuussuunnitelmia testataan ja harjoitellaan säännöllisesti.
</t>
  </si>
  <si>
    <t xml:space="preserve">Harjoittelemalla testataan suunnitelmien toimivuus erilaisissa tilanteissa. Havaintoja käytetään suunnitelmien kehittämiseen. 
</t>
  </si>
  <si>
    <t xml:space="preserve">Organisaatiot vastaavat omasta harjoitustoiminnastaan ja määrittelevät jatkuvuussuunnitelmien testaamisen käytännöt. Organisaatio harjoittelee sisäisesti sekä valtakunnallisissa että alueellisissa ja paikallisissa harjoituksissa toiminnan edellyttämässä laajuudessa.
</t>
  </si>
  <si>
    <t xml:space="preserve">TihL 4 § 2 mom,13 § 2 mom; 15 §
</t>
  </si>
  <si>
    <t>ISO/IEC 27002:2022 5.23</t>
  </si>
  <si>
    <t>VAR-04</t>
  </si>
  <si>
    <t>Resurssit ja osaaminen</t>
  </si>
  <si>
    <t xml:space="preserve">Henkilöt tuntevat omaan toimintaan liittyvät jatkuvuus- ja toipumissuunnitelmat sekä osaavat toimia niiden mukaisesti.
Varahenkilöt on nimetty ja heidän kykynsä hoitaa tehtävät normaalitilanteissa on varmistettu. 
</t>
  </si>
  <si>
    <t xml:space="preserve">Jokainen koulutettu henkilö tuntee periaatteet organisaation varautumisesta sekä tietää eri tilannemallien vaikutuksen omaan tehtäväänsä.
Heitä kannustetaan osallistumaan erilaisiin varautumista tukeviin yhteistyöryhmiin. 
</t>
  </si>
  <si>
    <t>TihL 4 § 2 mom</t>
  </si>
  <si>
    <t>VAR-05</t>
  </si>
  <si>
    <t>Henkilöstön saatavuus ja varajärjestelyt</t>
  </si>
  <si>
    <t xml:space="preserve">Kriittisten tehtävien suorittamiseksi on suunniteltu ja valmisteltu erityistilanteiden vaihtoehtoiset toimintatavat ja henkilöstön saatavuus ja varajärjestelyt.
</t>
  </si>
  <si>
    <t xml:space="preserve">Lainsäädännön mahdollistamat toimenpiteet on tunnistettu ja toteutettu tarvittavassa laajuudessa esimerkiksi lakko-oikeuksien poistamisen, hätätöiden käytön ja henkilövarausten (VAP) osalta.
</t>
  </si>
  <si>
    <t xml:space="preserve">TihL 4 § 2 mom 2 k; 13 § 1 mom, 15 § 1 mom 4 k
</t>
  </si>
  <si>
    <t>Työaikalaki 872/2019, 19 §; Valtion virkaehtosopimuslaki 664/1970 11 §; Asevelvollisuuslaki 1438/2007 89 §</t>
  </si>
  <si>
    <t>VAR-06</t>
  </si>
  <si>
    <t>Tietoliikenteen varmistaminen</t>
  </si>
  <si>
    <t xml:space="preserve">Tietoliikennepalveluissa ja -sopimuksissa on huomioitu toiminnan kannalta tärkeiden palveluiden saatavuus häiriötilanteissa.
</t>
  </si>
  <si>
    <t xml:space="preserve">Tärkeiden palvelujen verkkoympäristöt ja tietoliikennepalvelut varmennetaan esimerkiksi kahdentamalla. Tietoliikenne voidaan kahdentaa fyysisesti kahta eri reittiä pitkin kahden eri operaattorin toimesta.  
Tärkeissä ympäristöissä varmistetaan, että yksittäisen tietoliikennekomponentin vikaantuminen ei keskeytä palvelun toimintaa.
Erikseen valittuihin työasemiin voidaan esimerkiksi asentaa erillinen tietoliikenneyhteys, jonka kautta voi päästä yleiseen tietoverkkoon.
Sopimusvaiheessa tulisi huomioida myös Suomen ulkopuolisten yhteyksien vikasietoisuus.
</t>
  </si>
  <si>
    <t>TihL 13 § 1, 2 ja 4 mom, 15 §</t>
  </si>
  <si>
    <t>Suosituskokoelma tiettyjen tietoturvallisuussäännösten soveltamisesta 2021:65 luku 11</t>
  </si>
  <si>
    <t>VAR-07</t>
  </si>
  <si>
    <t>Tietoteknisten ympäristöjen varmentaminen</t>
  </si>
  <si>
    <t xml:space="preserve">Tietoteknisissä ympäristöissä ja niihin liittyvissä sopimuksissa on huomioitu toiminnan kannalta tärkeiden palveluiden saatavuus häiriötilanteissa.
</t>
  </si>
  <si>
    <t xml:space="preserve">Tärkeiden palvelujen tietotekniset ympäristöt varmennetaan esimerkiksi kahdentamalla siten, että yksittäisten komponenttien vikaantumiset eivät aiheuta toiminnan edellyttämää palvelutasoa pidempiä käyttökatkoja.
Tietotekniset ympäristöt voidaan varmentaa varavoimalla tai varavoimaliitännöillä siten, että sähkönjakelu voidaan käynnistää riittävän nopeasti ja ylläpitää sitä riittävän ajan suhteessa toiminnan vaatimuksiin.
</t>
  </si>
  <si>
    <t>VAR-08</t>
  </si>
  <si>
    <t>Vikasietoisuus</t>
  </si>
  <si>
    <t xml:space="preserve">ICT-infrastruktuuri sekä olennaiset tietojärjestelmät on toteutettu riittävän vikasietoisiksi ja käyttövarmoiksi riskiarvioinnin perusteella.
</t>
  </si>
  <si>
    <t xml:space="preserve">Tietojärjestelmien häiriöihin on varauduttu nopean palautumisen varmistamiseksi. Palautumisessa hyödynnetään mekanismeja, joiden tavoitteena on reaaliaikainen tai lähes reaaliaikainen viansietokyky kriittisten järjestelmien saatavuuden ylläpitämiseksi.
</t>
  </si>
  <si>
    <t xml:space="preserve">Kriittisten palvelujen verkko-, palvelin- ja laiteympäristöt varmennetaan esimerkiksi kahdentamalla.
Organisaatiossa otetaan järjestelmistä varmistusten lisäksi suojakopioita, joita säilytetään vähintään eri palotilassa kun varsinaisia tietoja.
Tietoaineistot on riskiarviointiin perustuen hajautettu maantieteellisesti vähintään kahteen eri paikkaan ja riittävän etäälle toisistaan Suomen rajojen sisäpuolella.
Julkisen hallinnon kriittisimmät palvelut ja niiden tiedonsiirto toteutetaan mahdollisuuksien mukaan  turvallisuusverkon vaatimusten mukaisesti.
</t>
  </si>
  <si>
    <t>TihL 13 § 1 ja 2 mom, 15 §</t>
  </si>
  <si>
    <t>Suosituskokoelma tiettyjen tietoturvallisuussäännösten soveltamisesta 2021:65 luku 6</t>
  </si>
  <si>
    <t>VAR-08.1</t>
  </si>
  <si>
    <t>Vikasietoisuus - riippuvuudet</t>
  </si>
  <si>
    <t xml:space="preserve">Palvelujen riippuvuus muista palveluista ja toisista toimijoista on otettu huomioon koko tietojenkäsittely-ympäristön ja sen vikasietoisuuden suunnittelussa.
</t>
  </si>
  <si>
    <t xml:space="preserve">Organisaatio on tunnistanut kriittiset palvelut sekä  niiden koko palveluketjun.
Koko palveluketju on toteutettu hyödyntäen riittävän vikasietoisia palveluita.
Vikasietoisuuden toteutuksessa hyödynnetään vikasietoisia alustaratkaisuja kuten esimerkiksi turvallisuusverkkoa.
</t>
  </si>
  <si>
    <t xml:space="preserve">Yhteiskunnan turvallisuusstrategia 2017
</t>
  </si>
  <si>
    <t>Tietojärjestelmien toipumissuunnitelmat</t>
  </si>
  <si>
    <t xml:space="preserve">Tietojärjestelmien toipumissuunnitelmien tulee olla laadittu, otettu käyttöön ja yhteensovitettu keskenään.
</t>
  </si>
  <si>
    <t>Toipumissuunnitelmat on määritetty organisaation toiminnan kannalta tärkeiden tietojärjestelmien häiriötilanteista palautumiseen.</t>
  </si>
  <si>
    <t xml:space="preserve">ICT-palveluiden tarvitsemat minimitasot voidaan määritellä palvelusta laaditussa SLA-sopimuksessa sekä toipumissuunnitelmassa. Minimitasot voidaan asettaa aikavaatimuksina, laitteistoalustana tai tietoliikennekapasiteettina, joka vähintään tarvitaan.
Toipumissuunnitelmien olemassaolosta vastaa aina palvelun tilaaja. Ulkoistetussa palvelussa järjestelmäkohtaisten toipumissuunnitelmien valmistelusta vastaa palveluntarjoaja. Tilaaja varmistaa, että palveluntarjoaja on testaa toipumissuunnitelmia säännöllisesti.
</t>
  </si>
  <si>
    <t>TihL 4 § 2 mom 2 k, 13 § 1 ja 2 mom, 15 § 1 mom</t>
  </si>
  <si>
    <t>Pakollisuus</t>
  </si>
  <si>
    <t>Apusarake</t>
  </si>
  <si>
    <t>Osa-alueet</t>
  </si>
  <si>
    <t>Turvallisuustaso</t>
  </si>
  <si>
    <t>Organisaation toiminta</t>
  </si>
  <si>
    <t>Tietosuoja esiehdoissa</t>
  </si>
  <si>
    <t>Tietosuojan turvallisuustasot esiehdoissa</t>
  </si>
  <si>
    <t>Päätös soveltamisesta</t>
  </si>
  <si>
    <t>Toimittajan vastaus</t>
  </si>
  <si>
    <t>Henkilötietoja</t>
  </si>
  <si>
    <t>Sisältyy</t>
  </si>
  <si>
    <t>PiTuKri</t>
  </si>
  <si>
    <t>Erityisiin henkilötietoryhmiin kuuluvia tietoja</t>
  </si>
  <si>
    <t>Ei sisälly</t>
  </si>
  <si>
    <t>Ei</t>
  </si>
  <si>
    <t>Valmis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</si>
</sst>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0"/>
      <name val="Arial"/>
    </font>
    <font>
      <sz val="8"/>
      <name val="Arial"/>
      <family val="2"/>
    </font>
    <font>
      <sz val="10"/>
      <name val="Arial"/>
      <family val="2"/>
    </font>
    <font>
      <b/>
      <sz val="10"/>
      <name val="Arial"/>
      <family val="2"/>
    </font>
    <font>
      <b/>
      <sz val="12"/>
      <color indexed="9"/>
      <name val="Arial"/>
      <family val="2"/>
    </font>
    <font>
      <sz val="12"/>
      <name val="Arial"/>
      <family val="2"/>
    </font>
    <font>
      <b/>
      <sz val="12"/>
      <name val="Arial"/>
      <family val="2"/>
    </font>
    <font>
      <sz val="10"/>
      <color rgb="FF00B050"/>
      <name val="Arial"/>
      <family val="2"/>
    </font>
    <font>
      <b/>
      <sz val="12"/>
      <color theme="0"/>
      <name val="Arial"/>
      <family val="2"/>
    </font>
    <font>
      <sz val="8"/>
      <name val="Arial"/>
    </font>
    <font>
      <sz val="14"/>
      <name val="Arial"/>
      <family val="2"/>
    </font>
    <font>
      <b/>
      <sz val="16"/>
      <name val="Arial"/>
      <family val="2"/>
    </font>
    <font>
      <b/>
      <sz val="18"/>
      <name val="Arial"/>
      <family val="2"/>
    </font>
    <font>
      <b/>
      <sz val="16"/>
      <color rgb="FFFFFFFF"/>
      <name val="Arial"/>
      <family val="2"/>
    </font>
    <font>
      <sz val="16"/>
      <name val="Arial"/>
      <family val="2"/>
    </font>
    <font>
      <b/>
      <i/>
      <sz val="12"/>
      <name val="Arial"/>
      <family val="2"/>
    </font>
    <font>
      <i/>
      <sz val="12"/>
      <name val="Arial"/>
      <family val="2"/>
    </font>
  </fonts>
  <fills count="13">
    <fill>
      <patternFill patternType="none"/>
    </fill>
    <fill>
      <patternFill patternType="gray125"/>
    </fill>
    <fill>
      <patternFill patternType="solid">
        <fgColor theme="0" tint="-0.34998626667073579"/>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76933C"/>
        <bgColor rgb="FFFFFFFF"/>
      </patternFill>
    </fill>
    <fill>
      <patternFill patternType="solid">
        <fgColor rgb="FFFFFFFF"/>
        <bgColor rgb="FFFFFFFF"/>
      </patternFill>
    </fill>
    <fill>
      <patternFill patternType="solid">
        <fgColor rgb="FFC4D79B"/>
        <bgColor rgb="FFFFFFFF"/>
      </patternFill>
    </fill>
    <fill>
      <patternFill patternType="solid">
        <fgColor rgb="FFCCFFFF"/>
        <bgColor indexed="64"/>
      </patternFill>
    </fill>
    <fill>
      <patternFill patternType="solid">
        <fgColor rgb="FFFFFFCC"/>
        <bgColor indexed="64"/>
      </patternFill>
    </fill>
    <fill>
      <patternFill patternType="solid">
        <fgColor theme="0" tint="-0.249977111117893"/>
        <bgColor indexed="64"/>
      </patternFill>
    </fill>
    <fill>
      <patternFill patternType="solid">
        <fgColor rgb="FF007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80">
    <xf numFmtId="0" fontId="0" fillId="0" borderId="0" xfId="0"/>
    <xf numFmtId="0" fontId="3" fillId="0" borderId="0" xfId="0" applyFont="1"/>
    <xf numFmtId="0" fontId="2" fillId="0" borderId="0" xfId="0" applyFont="1"/>
    <xf numFmtId="0" fontId="0" fillId="0" borderId="0" xfId="0" applyAlignment="1">
      <alignment wrapText="1"/>
    </xf>
    <xf numFmtId="0" fontId="0" fillId="0" borderId="0" xfId="0" applyAlignment="1">
      <alignment vertical="top"/>
    </xf>
    <xf numFmtId="164" fontId="5" fillId="2" borderId="0" xfId="0" applyNumberFormat="1" applyFont="1" applyFill="1" applyAlignment="1">
      <alignment vertical="top"/>
    </xf>
    <xf numFmtId="49" fontId="5" fillId="2" borderId="0" xfId="0" applyNumberFormat="1" applyFont="1" applyFill="1" applyAlignment="1">
      <alignment vertical="top"/>
    </xf>
    <xf numFmtId="164" fontId="4" fillId="3" borderId="1" xfId="0" applyNumberFormat="1" applyFont="1" applyFill="1" applyBorder="1" applyAlignment="1">
      <alignment vertical="top"/>
    </xf>
    <xf numFmtId="49" fontId="4" fillId="3" borderId="1" xfId="0" applyNumberFormat="1" applyFont="1" applyFill="1" applyBorder="1" applyAlignment="1">
      <alignment vertical="top"/>
    </xf>
    <xf numFmtId="164" fontId="2" fillId="0" borderId="1" xfId="0" applyNumberFormat="1" applyFont="1" applyBorder="1" applyAlignment="1">
      <alignment vertical="top"/>
    </xf>
    <xf numFmtId="164" fontId="2" fillId="2" borderId="0" xfId="0" applyNumberFormat="1" applyFont="1" applyFill="1" applyAlignment="1">
      <alignment vertical="top"/>
    </xf>
    <xf numFmtId="0" fontId="0" fillId="0" borderId="0" xfId="0" applyAlignment="1">
      <alignment horizontal="center" vertical="top"/>
    </xf>
    <xf numFmtId="0" fontId="2" fillId="4" borderId="0" xfId="0" applyFont="1" applyFill="1" applyAlignment="1">
      <alignment vertical="top"/>
    </xf>
    <xf numFmtId="0" fontId="0" fillId="4" borderId="0" xfId="0" applyFill="1" applyAlignment="1">
      <alignment vertical="top"/>
    </xf>
    <xf numFmtId="0" fontId="3" fillId="4" borderId="3" xfId="0" applyFont="1" applyFill="1" applyBorder="1" applyAlignment="1">
      <alignment horizontal="center" vertical="top"/>
    </xf>
    <xf numFmtId="0" fontId="3" fillId="4" borderId="3" xfId="0" applyFont="1" applyFill="1" applyBorder="1" applyAlignment="1">
      <alignment horizontal="center" vertical="top" wrapText="1"/>
    </xf>
    <xf numFmtId="0" fontId="0" fillId="0" borderId="0" xfId="0" applyAlignment="1">
      <alignment vertical="top" wrapText="1"/>
    </xf>
    <xf numFmtId="0" fontId="2" fillId="2" borderId="0" xfId="0" applyFont="1" applyFill="1" applyAlignment="1">
      <alignment vertical="top"/>
    </xf>
    <xf numFmtId="0" fontId="0" fillId="0" borderId="0" xfId="0" applyAlignment="1">
      <alignment horizontal="left"/>
    </xf>
    <xf numFmtId="0" fontId="3" fillId="0" borderId="0" xfId="0" applyFont="1" applyAlignment="1">
      <alignment wrapText="1"/>
    </xf>
    <xf numFmtId="0" fontId="2" fillId="0" borderId="0" xfId="0" applyFont="1" applyAlignment="1">
      <alignment wrapText="1"/>
    </xf>
    <xf numFmtId="0" fontId="0" fillId="0" borderId="1" xfId="0" applyBorder="1" applyAlignment="1" applyProtection="1">
      <alignment horizontal="left"/>
      <protection locked="0"/>
    </xf>
    <xf numFmtId="49" fontId="2" fillId="2" borderId="0" xfId="0" applyNumberFormat="1" applyFont="1" applyFill="1" applyAlignment="1">
      <alignment vertical="top"/>
    </xf>
    <xf numFmtId="49" fontId="2" fillId="0" borderId="1" xfId="0" applyNumberFormat="1" applyFont="1" applyBorder="1" applyAlignment="1">
      <alignment vertical="top"/>
    </xf>
    <xf numFmtId="164" fontId="3" fillId="2" borderId="0" xfId="0" applyNumberFormat="1" applyFont="1" applyFill="1" applyAlignment="1">
      <alignment vertical="top"/>
    </xf>
    <xf numFmtId="0" fontId="2"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164" fontId="6" fillId="5" borderId="1" xfId="0" applyNumberFormat="1" applyFont="1" applyFill="1" applyBorder="1" applyAlignment="1">
      <alignmen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3" fillId="0" borderId="1" xfId="0" applyFont="1" applyBorder="1" applyAlignment="1">
      <alignment vertical="top" wrapText="1"/>
    </xf>
    <xf numFmtId="0" fontId="2" fillId="0" borderId="1" xfId="0" applyFont="1" applyBorder="1" applyAlignment="1">
      <alignment vertical="top" wrapText="1"/>
    </xf>
    <xf numFmtId="164" fontId="3" fillId="9" borderId="2" xfId="0" applyNumberFormat="1" applyFont="1" applyFill="1" applyBorder="1" applyAlignment="1">
      <alignment vertical="top"/>
    </xf>
    <xf numFmtId="164" fontId="2" fillId="9" borderId="0" xfId="0" applyNumberFormat="1" applyFont="1" applyFill="1" applyAlignment="1">
      <alignment vertical="top"/>
    </xf>
    <xf numFmtId="0" fontId="3" fillId="9" borderId="0" xfId="0" applyFont="1" applyFill="1" applyAlignment="1">
      <alignment vertical="top" wrapText="1"/>
    </xf>
    <xf numFmtId="164" fontId="8" fillId="3" borderId="1" xfId="0" applyNumberFormat="1" applyFont="1" applyFill="1" applyBorder="1" applyAlignment="1">
      <alignment vertical="top"/>
    </xf>
    <xf numFmtId="49" fontId="0" fillId="0" borderId="0" xfId="0" applyNumberFormat="1" applyAlignment="1">
      <alignment horizontal="left" vertical="top" wrapText="1"/>
    </xf>
    <xf numFmtId="164" fontId="4" fillId="3" borderId="1" xfId="0" applyNumberFormat="1" applyFont="1" applyFill="1" applyBorder="1" applyAlignment="1">
      <alignment horizontal="left" vertical="top" wrapText="1"/>
    </xf>
    <xf numFmtId="0" fontId="0" fillId="0" borderId="0" xfId="0" applyAlignment="1">
      <alignment horizontal="left" vertical="top" wrapText="1"/>
    </xf>
    <xf numFmtId="164" fontId="4" fillId="3" borderId="1" xfId="0" applyNumberFormat="1" applyFont="1" applyFill="1" applyBorder="1" applyAlignment="1" applyProtection="1">
      <alignment vertical="top"/>
      <protection hidden="1"/>
    </xf>
    <xf numFmtId="0" fontId="6" fillId="2" borderId="0" xfId="0" applyFont="1" applyFill="1" applyAlignment="1" applyProtection="1">
      <alignment horizontal="center" vertical="top"/>
      <protection hidden="1"/>
    </xf>
    <xf numFmtId="164" fontId="6" fillId="2" borderId="0" xfId="0" applyNumberFormat="1" applyFont="1" applyFill="1" applyAlignment="1" applyProtection="1">
      <alignment horizontal="center" vertical="top"/>
      <protection hidden="1"/>
    </xf>
    <xf numFmtId="164" fontId="2" fillId="0" borderId="1" xfId="0" applyNumberFormat="1" applyFont="1" applyBorder="1" applyAlignment="1" applyProtection="1">
      <alignment vertical="top"/>
      <protection hidden="1"/>
    </xf>
    <xf numFmtId="0" fontId="3" fillId="2" borderId="0" xfId="0" applyFont="1" applyFill="1" applyAlignment="1" applyProtection="1">
      <alignment horizontal="center" vertical="top"/>
      <protection hidden="1"/>
    </xf>
    <xf numFmtId="0" fontId="2" fillId="2" borderId="0" xfId="0" applyFont="1" applyFill="1" applyAlignment="1" applyProtection="1">
      <alignment horizontal="center" vertical="top"/>
      <protection hidden="1"/>
    </xf>
    <xf numFmtId="164" fontId="2" fillId="2" borderId="0" xfId="0" applyNumberFormat="1" applyFont="1" applyFill="1" applyAlignment="1" applyProtection="1">
      <alignment horizontal="center" vertical="top"/>
      <protection hidden="1"/>
    </xf>
    <xf numFmtId="164" fontId="2" fillId="2" borderId="0" xfId="0" applyNumberFormat="1" applyFont="1" applyFill="1" applyAlignment="1" applyProtection="1">
      <alignment vertical="top"/>
      <protection hidden="1"/>
    </xf>
    <xf numFmtId="164" fontId="3" fillId="2" borderId="0" xfId="0" applyNumberFormat="1" applyFont="1" applyFill="1" applyAlignment="1" applyProtection="1">
      <alignment vertical="top"/>
      <protection hidden="1"/>
    </xf>
    <xf numFmtId="164" fontId="3" fillId="2" borderId="0" xfId="0" applyNumberFormat="1" applyFont="1" applyFill="1" applyAlignment="1" applyProtection="1">
      <alignment horizontal="center" vertical="top"/>
      <protection hidden="1"/>
    </xf>
    <xf numFmtId="0" fontId="0" fillId="0" borderId="0" xfId="0" applyAlignment="1" applyProtection="1">
      <alignment horizontal="center" vertical="top"/>
      <protection locked="0"/>
    </xf>
    <xf numFmtId="0" fontId="3" fillId="4" borderId="3" xfId="0" applyFont="1" applyFill="1" applyBorder="1" applyAlignment="1">
      <alignment horizontal="center" vertical="center" textRotation="180" wrapText="1"/>
    </xf>
    <xf numFmtId="49" fontId="0" fillId="10" borderId="0" xfId="0" applyNumberFormat="1" applyFill="1" applyAlignment="1" applyProtection="1">
      <alignment horizontal="left" vertical="top" wrapText="1"/>
      <protection locked="0"/>
    </xf>
    <xf numFmtId="49" fontId="2" fillId="10" borderId="0" xfId="0" applyNumberFormat="1" applyFont="1" applyFill="1" applyAlignment="1" applyProtection="1">
      <alignment horizontal="left" vertical="top" wrapText="1"/>
      <protection locked="0"/>
    </xf>
    <xf numFmtId="0" fontId="2" fillId="0" borderId="0" xfId="0" applyFont="1" applyAlignment="1">
      <alignment horizontal="left" vertical="top" wrapText="1"/>
    </xf>
    <xf numFmtId="49" fontId="0" fillId="0" borderId="0" xfId="0" applyNumberFormat="1" applyAlignment="1" applyProtection="1">
      <alignment horizontal="left" vertical="top" wrapText="1"/>
      <protection locked="0"/>
    </xf>
    <xf numFmtId="49" fontId="2" fillId="0" borderId="0" xfId="0" applyNumberFormat="1" applyFont="1" applyAlignment="1">
      <alignment horizontal="left" vertical="top" wrapText="1"/>
    </xf>
    <xf numFmtId="164" fontId="4" fillId="3" borderId="1" xfId="0" applyNumberFormat="1" applyFont="1" applyFill="1" applyBorder="1" applyAlignment="1">
      <alignment horizontal="center" vertical="top" wrapText="1"/>
    </xf>
    <xf numFmtId="0" fontId="0" fillId="0" borderId="0" xfId="0" applyAlignment="1">
      <alignment horizontal="center" vertical="top" wrapText="1"/>
    </xf>
    <xf numFmtId="0" fontId="3" fillId="0" borderId="1" xfId="0" applyFont="1" applyBorder="1" applyAlignment="1">
      <alignment horizontal="left" vertical="top"/>
    </xf>
    <xf numFmtId="0" fontId="0" fillId="0" borderId="1" xfId="0" applyBorder="1" applyAlignment="1">
      <alignment vertical="top" wrapText="1"/>
    </xf>
    <xf numFmtId="49" fontId="4" fillId="3"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2" fillId="2" borderId="0" xfId="0" applyNumberFormat="1" applyFont="1" applyFill="1" applyAlignment="1">
      <alignment vertical="top" wrapText="1"/>
    </xf>
    <xf numFmtId="0" fontId="12" fillId="0" borderId="0" xfId="0" applyFont="1" applyAlignment="1">
      <alignment vertical="top"/>
    </xf>
    <xf numFmtId="0" fontId="10" fillId="0" borderId="0" xfId="0" applyFont="1" applyAlignment="1">
      <alignment vertical="top"/>
    </xf>
    <xf numFmtId="0" fontId="13" fillId="6" borderId="4" xfId="0" applyFont="1" applyFill="1" applyBorder="1" applyAlignment="1">
      <alignment horizontal="left" vertical="center" wrapText="1" indent="1"/>
    </xf>
    <xf numFmtId="0" fontId="14" fillId="0" borderId="0" xfId="0" applyFont="1"/>
    <xf numFmtId="0" fontId="11" fillId="8" borderId="6" xfId="0" applyFont="1" applyFill="1" applyBorder="1" applyAlignment="1">
      <alignment horizontal="left" vertical="center" wrapText="1" indent="1"/>
    </xf>
    <xf numFmtId="0" fontId="15" fillId="7" borderId="5" xfId="0" applyFont="1" applyFill="1" applyBorder="1" applyAlignment="1">
      <alignment horizontal="left" vertical="top" wrapText="1"/>
    </xf>
    <xf numFmtId="0" fontId="5" fillId="0" borderId="7" xfId="0" applyFont="1" applyBorder="1" applyAlignment="1">
      <alignment horizontal="left" vertical="top" wrapText="1"/>
    </xf>
    <xf numFmtId="49" fontId="0" fillId="0" borderId="1" xfId="0" applyNumberFormat="1" applyBorder="1" applyAlignment="1" applyProtection="1">
      <alignment horizontal="left" vertical="top" wrapText="1"/>
      <protection locked="0"/>
    </xf>
    <xf numFmtId="0" fontId="0" fillId="0" borderId="1" xfId="0" applyBorder="1" applyProtection="1">
      <protection locked="0"/>
    </xf>
    <xf numFmtId="49" fontId="2" fillId="0" borderId="1" xfId="0" applyNumberFormat="1" applyFont="1" applyBorder="1" applyAlignment="1" applyProtection="1">
      <alignment horizontal="left" vertical="top" wrapText="1"/>
      <protection locked="0"/>
    </xf>
    <xf numFmtId="0" fontId="3" fillId="0" borderId="0" xfId="0" applyFont="1" applyAlignment="1">
      <alignment horizontal="left"/>
    </xf>
    <xf numFmtId="0" fontId="2" fillId="0" borderId="0" xfId="0" applyFont="1" applyAlignment="1">
      <alignment horizontal="left" indent="1"/>
    </xf>
    <xf numFmtId="0" fontId="2" fillId="11" borderId="0" xfId="0" applyFont="1" applyFill="1" applyAlignment="1">
      <alignment horizontal="left" indent="1"/>
    </xf>
    <xf numFmtId="0" fontId="0" fillId="11" borderId="1" xfId="0" applyFill="1" applyBorder="1" applyAlignment="1" applyProtection="1">
      <alignment horizontal="left"/>
      <protection locked="0"/>
    </xf>
    <xf numFmtId="0" fontId="2" fillId="0" borderId="1" xfId="0" applyFont="1" applyBorder="1" applyAlignment="1" applyProtection="1">
      <alignment horizontal="left"/>
      <protection locked="0"/>
    </xf>
    <xf numFmtId="0" fontId="11" fillId="0" borderId="0" xfId="0" applyFont="1" applyAlignment="1" applyProtection="1">
      <alignment vertical="top"/>
      <protection locked="0"/>
    </xf>
    <xf numFmtId="164" fontId="4" fillId="12" borderId="1" xfId="0" applyNumberFormat="1" applyFont="1" applyFill="1" applyBorder="1" applyAlignment="1">
      <alignment horizontal="left" vertical="top" wrapText="1"/>
    </xf>
  </cellXfs>
  <cellStyles count="2">
    <cellStyle name="Normaali" xfId="0" builtinId="0"/>
    <cellStyle name="Normal 2" xfId="1" xr:uid="{00000000-0005-0000-0000-000001000000}"/>
  </cellStyles>
  <dxfs count="0"/>
  <tableStyles count="0" defaultTableStyle="TableStyleMedium9" defaultPivotStyle="PivotStyleLight16"/>
  <colors>
    <mruColors>
      <color rgb="FF00ACDE"/>
      <color rgb="FFFFFFCC"/>
      <color rgb="FFCCFFFF"/>
      <color rgb="FF66FFFF"/>
      <color rgb="FF1F477D"/>
      <color rgb="FFFFFF99"/>
      <color rgb="FFFF505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2507F-439B-4ADA-9054-6E29757318EA}">
  <dimension ref="A1:A13"/>
  <sheetViews>
    <sheetView workbookViewId="0" xr3:uid="{D31A668F-CC97-51E4-908B-2FF17E1B90ED}">
      <selection activeCell="A10" sqref="A10"/>
    </sheetView>
  </sheetViews>
  <sheetFormatPr defaultColWidth="9.140625" defaultRowHeight="20.100000000000001"/>
  <cols>
    <col min="1" max="1" width="129.140625" style="66" customWidth="1"/>
    <col min="2" max="16384" width="9.140625" style="66"/>
  </cols>
  <sheetData>
    <row r="1" spans="1:1">
      <c r="A1" s="65" t="s">
        <v>0</v>
      </c>
    </row>
    <row r="2" spans="1:1" ht="46.5">
      <c r="A2" s="68" t="s">
        <v>1</v>
      </c>
    </row>
    <row r="3" spans="1:1">
      <c r="A3" s="67" t="s">
        <v>2</v>
      </c>
    </row>
    <row r="4" spans="1:1" ht="46.5">
      <c r="A4" s="69" t="s">
        <v>3</v>
      </c>
    </row>
    <row r="5" spans="1:1" ht="139.5">
      <c r="A5" s="69" t="s">
        <v>4</v>
      </c>
    </row>
    <row r="6" spans="1:1" ht="46.5">
      <c r="A6" s="69" t="s">
        <v>5</v>
      </c>
    </row>
    <row r="7" spans="1:1" ht="123.95">
      <c r="A7" s="69" t="s">
        <v>6</v>
      </c>
    </row>
    <row r="8" spans="1:1" ht="62.1">
      <c r="A8" s="69" t="s">
        <v>7</v>
      </c>
    </row>
    <row r="9" spans="1:1" ht="216.95">
      <c r="A9" s="69" t="s">
        <v>8</v>
      </c>
    </row>
    <row r="10" spans="1:1" ht="232.5">
      <c r="A10" s="69" t="s">
        <v>9</v>
      </c>
    </row>
    <row r="11" spans="1:1" ht="62.1">
      <c r="A11" s="69" t="s">
        <v>10</v>
      </c>
    </row>
    <row r="12" spans="1:1" ht="77.45">
      <c r="A12" s="69" t="s">
        <v>11</v>
      </c>
    </row>
    <row r="13" spans="1:1" ht="62.1">
      <c r="A13" s="69" t="s">
        <v>12</v>
      </c>
    </row>
  </sheetData>
  <sheetProtection sheet="1" objects="1" scenarios="1"/>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1C41A-591F-430C-91BF-7FA3C9209F51}">
  <dimension ref="A1:B8"/>
  <sheetViews>
    <sheetView tabSelected="1" zoomScale="70" zoomScaleNormal="70" workbookViewId="0" xr3:uid="{FE1C8298-4EBF-5A0B-B307-2DD966E13F10}">
      <selection activeCell="B34" sqref="B34"/>
    </sheetView>
  </sheetViews>
  <sheetFormatPr defaultRowHeight="12.6"/>
  <cols>
    <col min="1" max="1" width="23.5703125" customWidth="1"/>
    <col min="2" max="2" width="85.42578125" customWidth="1"/>
    <col min="4" max="4" width="9.42578125" customWidth="1"/>
  </cols>
  <sheetData>
    <row r="1" spans="1:2" ht="33" customHeight="1">
      <c r="A1" s="63" t="s">
        <v>13</v>
      </c>
    </row>
    <row r="2" spans="1:2" ht="22.5" customHeight="1">
      <c r="A2" s="58" t="s">
        <v>14</v>
      </c>
      <c r="B2" s="72"/>
    </row>
    <row r="3" spans="1:2" ht="22.5" customHeight="1">
      <c r="A3" s="58" t="s">
        <v>15</v>
      </c>
      <c r="B3" s="72"/>
    </row>
    <row r="4" spans="1:2" ht="22.5" customHeight="1">
      <c r="A4" s="58" t="s">
        <v>16</v>
      </c>
      <c r="B4" s="70"/>
    </row>
    <row r="5" spans="1:2" ht="22.5" customHeight="1">
      <c r="A5" s="58" t="s">
        <v>17</v>
      </c>
      <c r="B5" s="70"/>
    </row>
    <row r="6" spans="1:2" ht="22.5" customHeight="1">
      <c r="A6" s="58" t="s">
        <v>18</v>
      </c>
      <c r="B6" s="72"/>
    </row>
    <row r="7" spans="1:2" ht="55.5" customHeight="1">
      <c r="A7" s="58" t="s">
        <v>19</v>
      </c>
      <c r="B7" s="70"/>
    </row>
    <row r="8" spans="1:2" ht="98.25" customHeight="1">
      <c r="A8" s="58" t="s">
        <v>20</v>
      </c>
      <c r="B8" s="71"/>
    </row>
  </sheetData>
  <sheetProtection sheet="1" objects="1" scenarios="1" formatColumns="0" formatRows="0"/>
  <dataValidations count="1">
    <dataValidation type="list" allowBlank="1" showInputMessage="1" showErrorMessage="1" sqref="B7" xr:uid="{670EE704-A6EA-4F64-B592-D2EE270FB18C}">
      <formula1>"Kesken, Luonnos, Tarkastettu, Hyväksytty"</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CFD8-0C8D-4705-A6AE-91CBD365E1F7}">
  <dimension ref="A1:F31"/>
  <sheetViews>
    <sheetView workbookViewId="0" xr3:uid="{3006FAF4-F932-5DDE-9F03-8E1D25CCCBE1}">
      <selection activeCell="B17" sqref="B17"/>
    </sheetView>
  </sheetViews>
  <sheetFormatPr defaultRowHeight="12.6"/>
  <cols>
    <col min="1" max="1" width="34.42578125" customWidth="1"/>
    <col min="2" max="2" width="39.140625" style="18" customWidth="1"/>
    <col min="4" max="5" width="9.140625" hidden="1" customWidth="1"/>
  </cols>
  <sheetData>
    <row r="1" spans="1:6" ht="12.95">
      <c r="A1" s="1" t="s">
        <v>21</v>
      </c>
      <c r="B1" s="73" t="s">
        <v>22</v>
      </c>
    </row>
    <row r="2" spans="1:6" ht="12.95">
      <c r="A2" s="1"/>
      <c r="B2" s="73"/>
    </row>
    <row r="3" spans="1:6" ht="12.95">
      <c r="A3" s="1" t="s">
        <v>23</v>
      </c>
    </row>
    <row r="4" spans="1:6">
      <c r="A4" s="74" t="s">
        <v>24</v>
      </c>
      <c r="B4" s="21" t="s">
        <v>25</v>
      </c>
      <c r="D4" s="17">
        <f>VLOOKUP(B4,Valintalistat!D$2:H$7,5,0)</f>
        <v>1</v>
      </c>
      <c r="E4">
        <f>D4+1</f>
        <v>2</v>
      </c>
    </row>
    <row r="5" spans="1:6">
      <c r="A5" s="74" t="s">
        <v>26</v>
      </c>
      <c r="B5" s="77" t="s">
        <v>27</v>
      </c>
      <c r="D5" s="17">
        <f>VLOOKUP(B5,Valintalistat!E$2:H$7,4,0)</f>
        <v>1</v>
      </c>
      <c r="E5">
        <f t="shared" ref="E5:E8" si="0">D5+1</f>
        <v>2</v>
      </c>
    </row>
    <row r="6" spans="1:6">
      <c r="A6" s="74" t="s">
        <v>28</v>
      </c>
      <c r="B6" s="21" t="s">
        <v>27</v>
      </c>
      <c r="D6" s="17">
        <f>VLOOKUP(B6,Valintalistat!F$2:H$7,3,0)</f>
        <v>1</v>
      </c>
      <c r="E6">
        <f t="shared" si="0"/>
        <v>2</v>
      </c>
    </row>
    <row r="7" spans="1:6">
      <c r="A7" s="74"/>
    </row>
    <row r="8" spans="1:6" ht="12.95">
      <c r="A8" s="73" t="s">
        <v>29</v>
      </c>
      <c r="B8" s="21" t="s">
        <v>30</v>
      </c>
      <c r="D8" s="17">
        <f>VLOOKUP(B8,Valintalistat!J$2:K$4,2,0)</f>
        <v>-99</v>
      </c>
      <c r="E8">
        <f t="shared" si="0"/>
        <v>-98</v>
      </c>
      <c r="F8" s="2"/>
    </row>
    <row r="10" spans="1:6" ht="12.95">
      <c r="A10" s="73" t="s">
        <v>31</v>
      </c>
    </row>
    <row r="11" spans="1:6">
      <c r="A11" s="74" t="s">
        <v>32</v>
      </c>
      <c r="B11" s="21" t="s">
        <v>33</v>
      </c>
      <c r="D11">
        <f t="shared" ref="D11:D15" si="1">IF(B11="Kyllä",1,0)</f>
        <v>1</v>
      </c>
    </row>
    <row r="12" spans="1:6">
      <c r="A12" s="74" t="s">
        <v>34</v>
      </c>
      <c r="B12" s="21" t="s">
        <v>33</v>
      </c>
      <c r="D12">
        <f t="shared" si="1"/>
        <v>1</v>
      </c>
    </row>
    <row r="13" spans="1:6">
      <c r="A13" s="74" t="s">
        <v>35</v>
      </c>
      <c r="B13" s="21" t="s">
        <v>33</v>
      </c>
      <c r="D13">
        <f t="shared" si="1"/>
        <v>1</v>
      </c>
    </row>
    <row r="14" spans="1:6" hidden="1">
      <c r="A14" s="75" t="s">
        <v>36</v>
      </c>
      <c r="B14" s="76"/>
      <c r="D14">
        <f t="shared" si="1"/>
        <v>0</v>
      </c>
    </row>
    <row r="15" spans="1:6">
      <c r="A15" s="74" t="s">
        <v>37</v>
      </c>
      <c r="B15" s="21" t="s">
        <v>33</v>
      </c>
      <c r="D15">
        <f t="shared" si="1"/>
        <v>1</v>
      </c>
    </row>
    <row r="17" spans="1:4" ht="12.95">
      <c r="A17" s="73" t="s">
        <v>38</v>
      </c>
      <c r="B17" s="21"/>
    </row>
    <row r="27" spans="1:4">
      <c r="C27" s="2"/>
    </row>
    <row r="31" spans="1:4">
      <c r="D31" s="18"/>
    </row>
  </sheetData>
  <sheetProtection sheet="1" objects="1" scenarios="1"/>
  <dataValidations count="1">
    <dataValidation type="list" allowBlank="1" showInputMessage="1" showErrorMessage="1" sqref="B11:B15" xr:uid="{CEEAF576-F535-4444-AB23-D087BDDC6367}">
      <formula1>"Kyllä, Ei"</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246FA09E-3BF6-46AA-9785-30FE831854A8}">
          <x14:formula1>
            <xm:f>Valintalistat!$D$2:$D$7</xm:f>
          </x14:formula1>
          <xm:sqref>B4</xm:sqref>
        </x14:dataValidation>
        <x14:dataValidation type="list" allowBlank="1" showInputMessage="1" showErrorMessage="1" xr:uid="{82603D5E-C2DA-408D-B244-DD9A9B1F3E11}">
          <x14:formula1>
            <xm:f>Valintalistat!$E$2:$E$5</xm:f>
          </x14:formula1>
          <xm:sqref>B5</xm:sqref>
        </x14:dataValidation>
        <x14:dataValidation type="list" allowBlank="1" showInputMessage="1" showErrorMessage="1" xr:uid="{4B07C453-F247-4B77-BF62-C94BE1F1CEB7}">
          <x14:formula1>
            <xm:f>Valintalistat!$F$2:$F$5</xm:f>
          </x14:formula1>
          <xm:sqref>B6</xm:sqref>
        </x14:dataValidation>
        <x14:dataValidation type="list" allowBlank="1" showInputMessage="1" showErrorMessage="1" xr:uid="{087155D2-C811-4552-A621-A19D3DBACCF3}">
          <x14:formula1>
            <xm:f>Valintalistat!$J$2:$J$4</xm:f>
          </x14:formula1>
          <xm:sqref>B8</xm:sqref>
        </x14:dataValidation>
        <x14:dataValidation type="list" allowBlank="1" showInputMessage="1" showErrorMessage="1" xr:uid="{1158BA99-0894-4F24-A6D5-50459B25CDD5}">
          <x14:formula1>
            <xm:f>Käyttötapauskuvaukset!$A$2:$A$11</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B31-1B0D-4436-96A8-F728331DCD77}">
  <dimension ref="A1:H502"/>
  <sheetViews>
    <sheetView zoomScaleNormal="100" workbookViewId="0" xr3:uid="{F64D41BD-D814-5F1E-B5CE-D5EEFB54E3D5}">
      <pane ySplit="1" topLeftCell="A21" activePane="bottomLeft" state="frozen"/>
      <selection pane="bottomLeft" activeCell="H1" sqref="H1"/>
    </sheetView>
  </sheetViews>
  <sheetFormatPr defaultColWidth="8.7109375" defaultRowHeight="12.6"/>
  <cols>
    <col min="1" max="1" width="16.85546875" style="38" customWidth="1"/>
    <col min="2" max="2" width="16.7109375" style="38" customWidth="1"/>
    <col min="3" max="3" width="35.7109375" style="38" customWidth="1"/>
    <col min="4" max="4" width="40.5703125" style="29" customWidth="1"/>
    <col min="5" max="5" width="35.28515625" style="38" customWidth="1"/>
    <col min="6" max="6" width="16.140625" style="38" bestFit="1" customWidth="1"/>
    <col min="7" max="7" width="16.85546875" style="38" customWidth="1"/>
    <col min="8" max="8" width="33.28515625" style="38" customWidth="1"/>
    <col min="9" max="11" width="8.7109375" style="38" customWidth="1"/>
    <col min="12" max="16384" width="8.7109375" style="38"/>
  </cols>
  <sheetData>
    <row r="1" spans="1:8" ht="30.95">
      <c r="A1" s="37" t="s">
        <v>39</v>
      </c>
      <c r="B1" s="37" t="s">
        <v>40</v>
      </c>
      <c r="C1" s="37" t="s">
        <v>41</v>
      </c>
      <c r="D1" s="79" t="s">
        <v>42</v>
      </c>
      <c r="E1" s="37" t="s">
        <v>43</v>
      </c>
      <c r="F1" s="37" t="s">
        <v>44</v>
      </c>
      <c r="G1" s="79" t="s">
        <v>45</v>
      </c>
      <c r="H1" s="79" t="s">
        <v>46</v>
      </c>
    </row>
    <row r="2" spans="1:8" ht="99.95">
      <c r="A2" s="53" t="str">
        <f>Kriteeristö!U2</f>
        <v>HAL-01, L:Julkinen, E:Vähäinen, S:Vähäinen, TS:Henkilötieto</v>
      </c>
      <c r="B2" s="38" t="str">
        <f>Kriteeristö!L2</f>
        <v>Periaatteet</v>
      </c>
      <c r="C2" s="36" t="str">
        <f>Kriteeristö!M2</f>
        <v xml:space="preserve">Organisaatiolla on ylimmän johdon hyväksymät tietoturvallisuusperiaatteet, jotka kuvaavat organisaation tietoturvallisuustoimenpiteiden kytkeytymistä organisaation toimintaan sekä ovat tietojen suojaamisen kannalta kattavat ja tarkoituksenmukaiset.
</v>
      </c>
      <c r="D2" s="52" t="s">
        <v>47</v>
      </c>
      <c r="E2" s="36"/>
      <c r="F2" s="38" t="str">
        <f>Kriteeristö!AN2</f>
        <v>Olennainen</v>
      </c>
      <c r="G2" s="29"/>
      <c r="H2" s="28"/>
    </row>
    <row r="3" spans="1:8" ht="137.44999999999999">
      <c r="A3" s="53" t="str">
        <f>Kriteeristö!U3</f>
        <v>HAL-02, L:Julkinen, E:Vähäinen, S:Vähäinen, TS:Henkilötieto</v>
      </c>
      <c r="B3" s="38" t="str">
        <f>Kriteeristö!L3</f>
        <v>Tehtävät ja vastuut</v>
      </c>
      <c r="C3" s="36" t="str">
        <f>Kriteeristö!M3</f>
        <v xml:space="preserve">Organisaatio on määritellyt ja dokumentoinut tietoturvallisuuden hoitamisen tehtävät ja vastuut sisältäen myös palveluntuottajille kuuluvat vastuut.
</v>
      </c>
      <c r="D3" s="52" t="s">
        <v>48</v>
      </c>
      <c r="E3" s="36" t="s">
        <v>49</v>
      </c>
      <c r="F3" s="38" t="str">
        <f>Kriteeristö!AN3</f>
        <v>Olennainen</v>
      </c>
      <c r="G3" s="29"/>
      <c r="H3" s="29"/>
    </row>
    <row r="4" spans="1:8" ht="87.6">
      <c r="A4" s="53" t="str">
        <f>Kriteeristö!U4</f>
        <v>HAL-02.1, L:Salassa pidettävä, E:Tärkeä, S:Tärkeä, TS:Erityinen henkilötietoryhmä</v>
      </c>
      <c r="B4" s="38" t="str">
        <f>Kriteeristö!L4</f>
        <v>Tehtävät ja vastuut - tehtävien eriyttäminen</v>
      </c>
      <c r="C4" s="36" t="str">
        <f>Kriteeristö!M4</f>
        <v xml:space="preserve">Organisaation on varmistettava, että henkilöillä ei ole tietoturvallisuuden kannalta vaarallisia työyhdistelmiä
</v>
      </c>
      <c r="D4" s="52" t="s">
        <v>47</v>
      </c>
      <c r="E4" s="36"/>
      <c r="F4" s="38" t="str">
        <f>Kriteeristö!AN4</f>
        <v>Valinnainen</v>
      </c>
      <c r="G4" s="29"/>
      <c r="H4" s="29"/>
    </row>
    <row r="5" spans="1:8" ht="62.45">
      <c r="A5" s="53" t="str">
        <f>Kriteeristö!U5</f>
        <v>HAL-03, L:Julkinen, E:Vähäinen, S:Vähäinen, TS:Henkilötieto</v>
      </c>
      <c r="B5" s="38" t="str">
        <f>Kriteeristö!L5</f>
        <v>Resurssit</v>
      </c>
      <c r="C5" s="36" t="str">
        <f>Kriteeristö!M5</f>
        <v xml:space="preserve">Organisaatiolla on käytössään riittävät resurssit ja asiantuntemus tietoturvallisuuden varmistamiseksi.
</v>
      </c>
      <c r="D5" s="51" t="s">
        <v>50</v>
      </c>
      <c r="E5" s="36"/>
      <c r="F5" s="38" t="str">
        <f>Kriteeristö!AN5</f>
        <v>Olennainen</v>
      </c>
      <c r="G5" s="29"/>
      <c r="H5" s="29"/>
    </row>
    <row r="6" spans="1:8" ht="50.1">
      <c r="A6" s="53" t="str">
        <f>Kriteeristö!U6</f>
        <v>HAL-04, L:Julkinen, E:Vähäinen, S:Vähäinen, TS:Henkilötieto</v>
      </c>
      <c r="B6" s="38" t="str">
        <f>Kriteeristö!L6</f>
        <v>Suojattavat kohteet</v>
      </c>
      <c r="C6" s="36" t="str">
        <f>Kriteeristö!M6</f>
        <v xml:space="preserve">Organisaatio tunnistaa suojattavat kohteet sekä pitää niistä ajantasaista dokumentaatiota.
</v>
      </c>
      <c r="D6" s="51"/>
      <c r="E6" s="36" t="s">
        <v>51</v>
      </c>
      <c r="F6" s="38" t="str">
        <f>Kriteeristö!AN6</f>
        <v>Olennainen</v>
      </c>
      <c r="G6" s="29"/>
      <c r="H6" s="29"/>
    </row>
    <row r="7" spans="1:8" ht="62.45">
      <c r="A7" s="53" t="str">
        <f>Kriteeristö!U7</f>
        <v>HAL-04.1, L:Julkinen, E:Vähäinen, S:Vähäinen, TS:Henkilötieto</v>
      </c>
      <c r="B7" s="38" t="str">
        <f>Kriteeristö!L7</f>
        <v>Suojattavat kohteet - vastuut</v>
      </c>
      <c r="C7" s="36" t="str">
        <f>Kriteeristö!M7</f>
        <v xml:space="preserve">Organisaatio määrittelee suojattavien kohteiden vastuut.
</v>
      </c>
      <c r="D7" s="51" t="s">
        <v>47</v>
      </c>
      <c r="E7" s="36"/>
      <c r="F7" s="38" t="str">
        <f>Kriteeristö!AN7</f>
        <v>Olennainen</v>
      </c>
      <c r="G7" s="29"/>
      <c r="H7" s="29"/>
    </row>
    <row r="8" spans="1:8" ht="62.45">
      <c r="A8" s="53" t="str">
        <f>Kriteeristö!U8</f>
        <v>HAL-04.2, L:Julkinen, E:Vähäinen, S:Vähäinen, TS:Henkilötieto</v>
      </c>
      <c r="B8" s="38" t="str">
        <f>Kriteeristö!L8</f>
        <v>Suojattavat kohteet - luokittelu</v>
      </c>
      <c r="C8" s="36" t="str">
        <f>Kriteeristö!M8</f>
        <v xml:space="preserve">Organisaation on luokiteltava tiedot sekä niihin liittyvät järjestelmät ja käsittelyprosessit niihin kohdistuvien vaatimusten perusteella.
</v>
      </c>
      <c r="D8" s="51" t="s">
        <v>52</v>
      </c>
      <c r="E8" s="36"/>
      <c r="F8" s="38" t="str">
        <f>Kriteeristö!AN8</f>
        <v>Olennainen</v>
      </c>
      <c r="G8" s="29"/>
      <c r="H8" s="29"/>
    </row>
    <row r="9" spans="1:8" ht="75">
      <c r="A9" s="53" t="str">
        <f>Kriteeristö!U9</f>
        <v>HAL-04.3, L:Salassa pidettävä, E:, S:, TS:Erityinen henkilötietoryhmä</v>
      </c>
      <c r="B9" s="38" t="str">
        <f>Kriteeristö!L9</f>
        <v>Suojattavat kohteet - kasautumisvaikutus</v>
      </c>
      <c r="C9" s="36" t="str">
        <f>Kriteeristö!M9</f>
        <v xml:space="preserve">Kasautumisvaikutus on huomioitu suojattavien kohteiden luokittelussa.
</v>
      </c>
      <c r="D9" s="51" t="s">
        <v>53</v>
      </c>
      <c r="E9" s="36" t="s">
        <v>54</v>
      </c>
      <c r="F9" s="38" t="str">
        <f>Kriteeristö!AN9</f>
        <v>Valinnainen</v>
      </c>
      <c r="G9" s="29"/>
      <c r="H9" s="29"/>
    </row>
    <row r="10" spans="1:8" ht="62.45">
      <c r="A10" s="53" t="str">
        <f>Kriteeristö!U10</f>
        <v>HAL-04.4, L:Salassa pidettävä, E:, S:, TS:Erityinen henkilötietoryhmä</v>
      </c>
      <c r="B10" s="38" t="str">
        <f>Kriteeristö!L10</f>
        <v>Suojattavat kohteet - merkitseminen</v>
      </c>
      <c r="C10" s="36" t="str">
        <f>Kriteeristö!M10</f>
        <v xml:space="preserve">Organisaation on merkittävä tiedot lakisääteisten vaatimusten sekä organisaation määrittelemien luokitteluperiaatteiden mukaisesti.
</v>
      </c>
      <c r="D10" s="51" t="s">
        <v>55</v>
      </c>
      <c r="E10" s="36"/>
      <c r="F10" s="38" t="str">
        <f>Kriteeristö!AN10</f>
        <v>Valinnainen</v>
      </c>
      <c r="G10" s="29"/>
      <c r="H10" s="28"/>
    </row>
    <row r="11" spans="1:8" ht="62.45">
      <c r="A11" s="53" t="str">
        <f>Kriteeristö!U11</f>
        <v>HAL-04.5, L:Julkinen, E:Vähäinen, S:Vähäinen, TS:Henkilötieto</v>
      </c>
      <c r="B11" s="38" t="str">
        <f>Kriteeristö!L11</f>
        <v>Suojattavat kohteet - riippuvuudet</v>
      </c>
      <c r="C11" s="36" t="str">
        <f>Kriteeristö!M11</f>
        <v xml:space="preserve">Organisaatio on tunnistanut ja dokumentoinut suojattavien kohteiden väliset riippuvuudet. 
</v>
      </c>
      <c r="D11" s="51" t="s">
        <v>56</v>
      </c>
      <c r="E11" s="36"/>
      <c r="F11" s="38" t="str">
        <f>Kriteeristö!AN11</f>
        <v>Olennainen</v>
      </c>
      <c r="G11" s="29"/>
      <c r="H11" s="28"/>
    </row>
    <row r="12" spans="1:8" ht="62.45">
      <c r="A12" s="53" t="str">
        <f>Kriteeristö!U12</f>
        <v>HAL-04.6, L:Julkinen, E:Vähäinen, S:Vähäinen, TS:Henkilötieto</v>
      </c>
      <c r="B12" s="38" t="str">
        <f>Kriteeristö!L12</f>
        <v>Suojattavat kohteet - sidosryhmät</v>
      </c>
      <c r="C12" s="36" t="str">
        <f>Kriteeristö!M12</f>
        <v xml:space="preserve">Organisaatio on tunnistanut ja dokumentoinut suojattaviin kohteisiin liittyvät sidosryhmät. 
</v>
      </c>
      <c r="D12" s="51" t="s">
        <v>57</v>
      </c>
      <c r="E12" s="36"/>
      <c r="F12" s="38" t="str">
        <f>Kriteeristö!AN12</f>
        <v>Olennainen</v>
      </c>
      <c r="G12" s="29"/>
      <c r="H12" s="29"/>
    </row>
    <row r="13" spans="1:8" ht="50.1">
      <c r="A13" s="53" t="str">
        <f>Kriteeristö!U13</f>
        <v>HAL-05, L:Julkinen, E:Vähäinen, S:Vähäinen, TS:Henkilötieto</v>
      </c>
      <c r="B13" s="38" t="str">
        <f>Kriteeristö!L13</f>
        <v>Vaatimukset</v>
      </c>
      <c r="C13" s="36" t="str">
        <f>Kriteeristö!M13</f>
        <v xml:space="preserve">Organisaatio tunnistaa lainsäädännöstä, sidosryhmistä sekä organisaation toiminnasta johtuvat tietoturvavaatimukset.
</v>
      </c>
      <c r="D13" s="51" t="s">
        <v>58</v>
      </c>
      <c r="E13" s="36"/>
      <c r="F13" s="38" t="str">
        <f>Kriteeristö!AN13</f>
        <v>Olennainen</v>
      </c>
      <c r="G13" s="29"/>
      <c r="H13" s="29"/>
    </row>
    <row r="14" spans="1:8" ht="87.6">
      <c r="A14" s="53" t="str">
        <f>Kriteeristö!U14</f>
        <v>HAL-05.1, L:Julkinen, E:Vähäinen, S:Vähäinen, TS:Henkilötieto</v>
      </c>
      <c r="B14" s="38" t="str">
        <f>Kriteeristö!L14</f>
        <v>Vaatimukset - seuranta</v>
      </c>
      <c r="C14" s="36" t="str">
        <f>Kriteeristö!M14</f>
        <v xml:space="preserve">Organisaatio seuraa asetettujen tietoturvallisuusvaatimusten ja toimintaympäristön muutoksia ja tekee tarvittavat toimenpiteet niihin reagoimiseksi.
</v>
      </c>
      <c r="D14" s="51" t="s">
        <v>59</v>
      </c>
      <c r="E14" s="36"/>
      <c r="F14" s="38" t="str">
        <f>Kriteeristö!AN14</f>
        <v>Olennainen</v>
      </c>
      <c r="G14" s="29"/>
      <c r="H14" s="29"/>
    </row>
    <row r="15" spans="1:8" ht="87.6">
      <c r="A15" s="53" t="str">
        <f>Kriteeristö!U15</f>
        <v>HAL-05.2, L:Julkinen, E:Vähäinen, S:Vähäinen, TS:Henkilötieto</v>
      </c>
      <c r="B15" s="38" t="str">
        <f>Kriteeristö!L15</f>
        <v>Vaatimukset - muutosvaikutukset</v>
      </c>
      <c r="C15" s="36" t="str">
        <f>Kriteeristö!M15</f>
        <v xml:space="preserve">Organisaatio arvioi olennaisten hallinnollisten uudistusten ja tietojärjestelmien käyttöönottojen muutosvaikutukset suhteessa tietoturvallisuusvaatimuksiin ja -toimenpiteisiin.
</v>
      </c>
      <c r="D15" s="51" t="s">
        <v>60</v>
      </c>
      <c r="E15" s="36" t="s">
        <v>61</v>
      </c>
      <c r="F15" s="38" t="str">
        <f>Kriteeristö!AN15</f>
        <v>Olennainen</v>
      </c>
      <c r="G15" s="29"/>
      <c r="H15" s="29"/>
    </row>
    <row r="16" spans="1:8" ht="87.6">
      <c r="A16" s="53" t="str">
        <f>Kriteeristö!U16</f>
        <v>HAL-06, L:Julkinen, E:Vähäinen, S:Vähäinen, TS:Henkilötieto</v>
      </c>
      <c r="B16" s="38" t="str">
        <f>Kriteeristö!L16</f>
        <v>Riskienhallinta</v>
      </c>
      <c r="C16" s="36" t="str">
        <f>Kriteeristö!M16</f>
        <v xml:space="preserve">Organisaatio toteuttaa tietoturvallisuusriskien hallintaa ja on arvioinut olennaiset tietoihin kohdistuvat riskit sekä mitoittanut tietoturvallisuustoimenpiteet riskiarvioinnin mukaisesti.
</v>
      </c>
      <c r="D16" s="51" t="s">
        <v>62</v>
      </c>
      <c r="E16" s="36" t="s">
        <v>63</v>
      </c>
      <c r="F16" s="38" t="str">
        <f>Kriteeristö!AN16</f>
        <v>Olennainen</v>
      </c>
      <c r="G16" s="29"/>
      <c r="H16" s="29"/>
    </row>
    <row r="17" spans="1:8" ht="50.1">
      <c r="A17" s="53" t="str">
        <f>Kriteeristö!U17</f>
        <v>HAL-06.1, L:Salassa pidettävä, E:, S:, TS:Henkilötieto</v>
      </c>
      <c r="B17" s="38" t="str">
        <f>Kriteeristö!L17</f>
        <v>Riskienhallinta - lainsäädäntöjohdannaiset riskit</v>
      </c>
      <c r="C17" s="36" t="str">
        <f>Kriteeristö!M17</f>
        <v xml:space="preserve">Palveluun liittyvät lainsäädäntöjohdannaiset riskit on tunnistettu, arvioitu ja niistä on huolehdittu.
</v>
      </c>
      <c r="D17" s="51" t="s">
        <v>64</v>
      </c>
      <c r="E17" s="36"/>
      <c r="F17" s="38" t="str">
        <f>Kriteeristö!AN17</f>
        <v>Valinnainen</v>
      </c>
      <c r="G17" s="29"/>
      <c r="H17" s="29"/>
    </row>
    <row r="18" spans="1:8" ht="62.45">
      <c r="A18" s="53" t="str">
        <f>Kriteeristö!U18</f>
        <v>HAL-07, L:Julkinen, E:Vähäinen, S:Vähäinen, TS:Henkilötieto</v>
      </c>
      <c r="B18" s="38" t="str">
        <f>Kriteeristö!L18</f>
        <v>Seuranta ja valvonta</v>
      </c>
      <c r="C18" s="36" t="str">
        <f>Kriteeristö!M18</f>
        <v xml:space="preserve">Organisaatiossa on järjestetty seuranta ja valvonta tietoturvallisuuteen liittyvien prosessien toimivuudesta ja vaatimusten täyttymisestä.
</v>
      </c>
      <c r="D18" s="51"/>
      <c r="E18" s="36" t="s">
        <v>51</v>
      </c>
      <c r="F18" s="38" t="str">
        <f>Kriteeristö!AN18</f>
        <v>Olennainen</v>
      </c>
      <c r="G18" s="29"/>
      <c r="H18" s="29"/>
    </row>
    <row r="19" spans="1:8" ht="62.45">
      <c r="A19" s="53" t="str">
        <f>Kriteeristö!U19</f>
        <v>HAL-07.1, L:Julkinen, E:Vähäinen, S:Vähäinen, TS:Henkilötieto</v>
      </c>
      <c r="B19" s="38" t="str">
        <f>Kriteeristö!L19</f>
        <v>Seuranta ja valvonta - tietojen käyttö ja luovutukset</v>
      </c>
      <c r="C19" s="36" t="str">
        <f>Kriteeristö!M19</f>
        <v xml:space="preserve">Organisaatio on tunnistanut lokitietojen keräämiseen liittyvät vaatimukset ja varmistanut niiden perusteella lokitietojen keräämisen ja seurannan riittävyyden. 
</v>
      </c>
      <c r="D19" s="51" t="s">
        <v>65</v>
      </c>
      <c r="E19" s="36" t="s">
        <v>66</v>
      </c>
      <c r="F19" s="38" t="str">
        <f>Kriteeristö!AN19</f>
        <v>Olennainen</v>
      </c>
      <c r="G19" s="29"/>
      <c r="H19" s="29"/>
    </row>
    <row r="20" spans="1:8" ht="62.45">
      <c r="A20" s="53" t="str">
        <f>Kriteeristö!U20</f>
        <v>HAL-08, L:Julkinen, E:Vähäinen, S:Vähäinen, TS:Henkilötieto</v>
      </c>
      <c r="B20" s="38" t="str">
        <f>Kriteeristö!L20</f>
        <v>Häiriöiden hallinta</v>
      </c>
      <c r="C20" s="36" t="str">
        <f>Kriteeristö!M20</f>
        <v xml:space="preserve">Organisaatiolla on tietoturvallisuushäiriöiden ja poikkeamatilanteiden käsittelyyn määritellyt prosessit ja ohjeet.
</v>
      </c>
      <c r="D20" s="51" t="s">
        <v>67</v>
      </c>
      <c r="E20" s="36" t="s">
        <v>68</v>
      </c>
      <c r="F20" s="38" t="str">
        <f>Kriteeristö!AN20</f>
        <v>Olennainen</v>
      </c>
      <c r="G20" s="29"/>
      <c r="H20" s="29"/>
    </row>
    <row r="21" spans="1:8" ht="62.45">
      <c r="A21" s="53" t="str">
        <f>Kriteeristö!U21</f>
        <v>HAL-09, L:Julkinen, E:Vähäinen, S:Vähäinen, TS:Henkilötieto</v>
      </c>
      <c r="B21" s="38" t="str">
        <f>Kriteeristö!L21</f>
        <v>Dokumentointi</v>
      </c>
      <c r="C21" s="36" t="str">
        <f>Kriteeristö!M21</f>
        <v xml:space="preserve">Tietoturvallisuuteen liittyvät politiikat, prosessit, ohjeet ja prosessien toteuttamisessa syntyvät tulokset on dokumentoitu.
</v>
      </c>
      <c r="D21" s="51" t="s">
        <v>67</v>
      </c>
      <c r="E21" s="36" t="s">
        <v>68</v>
      </c>
      <c r="F21" s="38" t="str">
        <f>Kriteeristö!AN21</f>
        <v>Olennainen</v>
      </c>
      <c r="G21" s="29"/>
      <c r="H21" s="29"/>
    </row>
    <row r="22" spans="1:8" ht="62.45">
      <c r="A22" s="53" t="str">
        <f>Kriteeristö!U22</f>
        <v>HAL-09.1, L:Julkinen, E:Vähäinen, S:Vähäinen, TS:Henkilötieto</v>
      </c>
      <c r="B22" s="38" t="str">
        <f>Kriteeristö!L22</f>
        <v>Dokumentointi - ajantasaisuus</v>
      </c>
      <c r="C22" s="36" t="str">
        <f>Kriteeristö!M22</f>
        <v xml:space="preserve">Tietoturvallisuuteen liittyvä dokumentaatio on ajantasaista.
</v>
      </c>
      <c r="D22" s="51"/>
      <c r="E22" s="36" t="s">
        <v>51</v>
      </c>
      <c r="F22" s="38" t="str">
        <f>Kriteeristö!AN22</f>
        <v>Olennainen</v>
      </c>
      <c r="G22" s="29"/>
      <c r="H22" s="29"/>
    </row>
    <row r="23" spans="1:8" ht="62.45">
      <c r="A23" s="53" t="str">
        <f>Kriteeristö!U23</f>
        <v>HAL-10, L:Julkinen, E:Vähäinen, S:Vähäinen, TS:Henkilötieto</v>
      </c>
      <c r="B23" s="38" t="str">
        <f>Kriteeristö!L23</f>
        <v>Henkilöstön luotettavuuden arviointi</v>
      </c>
      <c r="C23" s="36" t="str">
        <f>Kriteeristö!M23</f>
        <v xml:space="preserve">Organisaatio tunnistaa ne tehtävät, joiden suorittaminen edellyttää sen palveluksessa olevilta tai sen lukuun toimivilta henkilöiltä erityistä luotettavuutta.
</v>
      </c>
      <c r="D23" s="51" t="s">
        <v>69</v>
      </c>
      <c r="E23" s="36" t="s">
        <v>70</v>
      </c>
      <c r="F23" s="38" t="str">
        <f>Kriteeristö!AN23</f>
        <v>Olennainen</v>
      </c>
      <c r="G23" s="29"/>
      <c r="H23" s="29"/>
    </row>
    <row r="24" spans="1:8" ht="87.6">
      <c r="A24" s="53" t="str">
        <f>Kriteeristö!U24</f>
        <v>HAL-10.1, L:Salassa pidettävä, E:Kriittinen, S:Kriittinen, TS:Erityinen henkilötietoryhmä</v>
      </c>
      <c r="B24" s="38" t="str">
        <f>Kriteeristö!L24</f>
        <v>Henkilöstön luotettavuuden arviointi - turvallisuusselvitys</v>
      </c>
      <c r="C24" s="36" t="str">
        <f>Kriteeristö!M24</f>
        <v xml:space="preserve">Organisaatio arvioi turvallisuusselvityksen tarpeen ja mikäli sellaista edellytetään, myöntää henkilöille pääsyn suojattaviin kohteisiin vasta turvallisuusselvityksen jälkeen.
</v>
      </c>
      <c r="D24" s="51" t="s">
        <v>71</v>
      </c>
      <c r="E24" s="36" t="s">
        <v>72</v>
      </c>
      <c r="F24" s="38" t="str">
        <f>Kriteeristö!AN24</f>
        <v>Valinnainen</v>
      </c>
      <c r="G24" s="29"/>
      <c r="H24" s="29"/>
    </row>
    <row r="25" spans="1:8" ht="62.45">
      <c r="A25" s="53" t="str">
        <f>Kriteeristö!U25</f>
        <v>HAL-11, L:Salassa pidettävä, E:, S:, TS:Henkilötieto</v>
      </c>
      <c r="B25" s="38" t="str">
        <f>Kriteeristö!L25</f>
        <v>Salassapito- ja vaitiolovelvollisuus</v>
      </c>
      <c r="C25" s="36" t="str">
        <f>Kriteeristö!M25</f>
        <v xml:space="preserve">Tietoa käsitteleville henkilöille on selvitetty tietojen suojaamista ja asiakirjojen käsittelyä koskevat tietoturvallisuusperiaatteet ja -toimenpiteet.
</v>
      </c>
      <c r="D25" s="51" t="s">
        <v>73</v>
      </c>
      <c r="E25" s="36"/>
      <c r="F25" s="38" t="str">
        <f>Kriteeristö!AN25</f>
        <v>Valinnainen</v>
      </c>
      <c r="G25" s="29"/>
      <c r="H25" s="29"/>
    </row>
    <row r="26" spans="1:8" ht="75">
      <c r="A26" s="53" t="str">
        <f>Kriteeristö!U26</f>
        <v>HAL-12, L:Julkinen, E:Vähäinen, S:Vähäinen, TS:Henkilötieto</v>
      </c>
      <c r="B26" s="38" t="str">
        <f>Kriteeristö!L26</f>
        <v>Ohjeet</v>
      </c>
      <c r="C26" s="36" t="str">
        <f>Kriteeristö!M26</f>
        <v xml:space="preserve">Organisaatiossa on ajantasaiset ja kattavat ohjeet tietoturvallisuuden varmistamiseksi.
</v>
      </c>
      <c r="D26" s="51" t="s">
        <v>74</v>
      </c>
      <c r="E26" s="36" t="s">
        <v>75</v>
      </c>
      <c r="F26" s="38" t="str">
        <f>Kriteeristö!AN26</f>
        <v>Olennainen</v>
      </c>
      <c r="G26" s="29"/>
      <c r="H26" s="29"/>
    </row>
    <row r="27" spans="1:8" ht="112.5">
      <c r="A27" s="53" t="str">
        <f>Kriteeristö!U27</f>
        <v>HAL-13, L:Julkinen, E:Vähäinen, S:Vähäinen, TS:Henkilötieto</v>
      </c>
      <c r="B27" s="38" t="str">
        <f>Kriteeristö!L27</f>
        <v>Koulutukset</v>
      </c>
      <c r="C27" s="36" t="str">
        <f>Kriteeristö!M27</f>
        <v xml:space="preserve">Organisaatio varmistaa perehdytyksillä, koulutuksilla ja viestinnällä, että henkilöstöllä ja organisaation lukuun toimivilla on tuntemus voimassa olevista tietoturvallisuutta koskevista määräyksistä ja ohjeista.
</v>
      </c>
      <c r="D27" s="51" t="s">
        <v>76</v>
      </c>
      <c r="E27" s="36" t="s">
        <v>77</v>
      </c>
      <c r="F27" s="38" t="str">
        <f>Kriteeristö!AN27</f>
        <v>Olennainen</v>
      </c>
      <c r="G27" s="29"/>
      <c r="H27" s="29"/>
    </row>
    <row r="28" spans="1:8" ht="75">
      <c r="A28" s="53" t="str">
        <f>Kriteeristö!U28</f>
        <v>HAL-14, L:Julkinen, E:Vähäinen, S:, TS:Henkilötieto</v>
      </c>
      <c r="B28" s="38" t="str">
        <f>Kriteeristö!L28</f>
        <v>Käyttö- ja käsittelyoikeudet</v>
      </c>
      <c r="C28" s="36" t="str">
        <f>Kriteeristö!M28</f>
        <v xml:space="preserve">Organisaatio varmistaa, että tietojärjestelmien käyttöoikeudet ja tietojen käsittelyoikeudet määritellään tehtäviin liittyvien tarpeiden mukaan sekä pidetään ajantasaisina.
</v>
      </c>
      <c r="D28" s="51" t="s">
        <v>78</v>
      </c>
      <c r="E28" s="36" t="s">
        <v>79</v>
      </c>
      <c r="F28" s="38" t="str">
        <f>Kriteeristö!AN28</f>
        <v>Olennainen</v>
      </c>
      <c r="G28" s="29"/>
      <c r="H28" s="29"/>
    </row>
    <row r="29" spans="1:8" ht="62.45">
      <c r="A29" s="53" t="str">
        <f>Kriteeristö!U29</f>
        <v>HAL-14.1, L:TL III, E:, S:, TS:</v>
      </c>
      <c r="B29" s="38" t="str">
        <f>Kriteeristö!L29</f>
        <v>Käyttö- ja käsittelyoikeudet - ajantasainen luettelo</v>
      </c>
      <c r="C29" s="36" t="str">
        <f>Kriteeristö!M29</f>
        <v xml:space="preserve">Organisaatio varmistaa, että sillä on ajantasaiset luettelot henkilöiden käyttö- ja käsittelyoikeuksista. 
</v>
      </c>
      <c r="D29" s="51" t="s">
        <v>80</v>
      </c>
      <c r="E29" s="36" t="s">
        <v>81</v>
      </c>
      <c r="F29" s="38" t="str">
        <f>Kriteeristö!AN29</f>
        <v>Ei ehdoteta hankintaan</v>
      </c>
      <c r="G29" s="29"/>
      <c r="H29" s="29"/>
    </row>
    <row r="30" spans="1:8" ht="75">
      <c r="A30" s="53" t="str">
        <f>Kriteeristö!U30</f>
        <v>HAL-14.2, L:Salassa pidettävä, E:Kriittinen, S:, TS:Erityinen henkilötietoryhmä</v>
      </c>
      <c r="B30" s="38" t="str">
        <f>Kriteeristö!L30</f>
        <v>Käyttö- ja käsittelyoikeudet - päättyminen</v>
      </c>
      <c r="C30" s="36" t="str">
        <f>Kriteeristö!M30</f>
        <v xml:space="preserve">Organisaatio varmistaa, että se, joka ei enää toimi tehtävissä, joihin oikeus tietojen käsittelyyn perustuu, palauttaa tiedot tai tuhoaa ne asianmukaisella tavalla.
</v>
      </c>
      <c r="D30" s="51" t="s">
        <v>82</v>
      </c>
      <c r="E30" s="36" t="s">
        <v>83</v>
      </c>
      <c r="F30" s="38" t="str">
        <f>Kriteeristö!AN30</f>
        <v>Valinnainen</v>
      </c>
      <c r="G30" s="29"/>
      <c r="H30" s="29"/>
    </row>
    <row r="31" spans="1:8" ht="87.6">
      <c r="A31" s="53" t="str">
        <f>Kriteeristö!U31</f>
        <v>HAL-15, L:Julkinen, E:Vähäinen, S:Vähäinen, TS:Henkilötieto</v>
      </c>
      <c r="B31" s="38" t="str">
        <f>Kriteeristö!L31</f>
        <v>Työskentelyn tietoturvallisuus koko palvelussuhteen ajan</v>
      </c>
      <c r="C31" s="36" t="str">
        <f>Kriteeristö!M31</f>
        <v xml:space="preserve">Organisaatio huolehtii työskentelyn tietoturvallisuudesta koko palvelussuhteen ajan.
 </v>
      </c>
      <c r="D31" s="51" t="s">
        <v>84</v>
      </c>
      <c r="E31" s="36" t="s">
        <v>85</v>
      </c>
      <c r="F31" s="38" t="str">
        <f>Kriteeristö!AN31</f>
        <v>Olennainen</v>
      </c>
      <c r="G31" s="29"/>
      <c r="H31" s="29"/>
    </row>
    <row r="32" spans="1:8" ht="75">
      <c r="A32" s="53" t="str">
        <f>Kriteeristö!U32</f>
        <v>HAL-16, L:Julkinen, E:Vähäinen, S:Vähäinen, TS:Henkilötieto</v>
      </c>
      <c r="B32" s="38" t="str">
        <f>Kriteeristö!L32</f>
        <v>Hankintojen turvallisuus</v>
      </c>
      <c r="C32" s="36" t="str">
        <f>Kriteeristö!M32</f>
        <v xml:space="preserve">Organisaatio varmistaa jo ennakolta, että hankittavat tietojärjestelmät ja palvelut ovat tietoturvallisia sekä varmistaa niiden turvallisuuden muutostilanteissa koko järjestelmän elinkaaren ajan.
</v>
      </c>
      <c r="D32" s="51" t="s">
        <v>86</v>
      </c>
      <c r="E32" s="36"/>
      <c r="F32" s="38" t="str">
        <f>Kriteeristö!AN32</f>
        <v>Olennainen</v>
      </c>
      <c r="G32" s="29"/>
      <c r="H32" s="29"/>
    </row>
    <row r="33" spans="1:8" ht="99.95">
      <c r="A33" s="53" t="str">
        <f>Kriteeristö!U33</f>
        <v>HAL-16.1, L:Julkinen, E:Vähäinen, S:Vähäinen, TS:Henkilötieto</v>
      </c>
      <c r="B33" s="38" t="str">
        <f>Kriteeristö!L33</f>
        <v>Hankintojen turvallisuus - sopimukset</v>
      </c>
      <c r="C33" s="36" t="str">
        <f>Kriteeristö!M33</f>
        <v xml:space="preserve">Organisaatio varmistaa, että tietoturvallisuuteen sisältyvät vaatimukset ja niiden säilyminen koko elinkaaren ajan on otettu huomioon sopimuksissa. Sopimusehdot eivät myöskään saa rajoittaa palvelun soveltuvuutta kyseiseen käyttötapaukseen. 
</v>
      </c>
      <c r="D33" s="51" t="s">
        <v>87</v>
      </c>
      <c r="E33" s="36"/>
      <c r="F33" s="38" t="str">
        <f>Kriteeristö!AN33</f>
        <v>Olennainen</v>
      </c>
      <c r="G33" s="29"/>
      <c r="H33" s="29"/>
    </row>
    <row r="34" spans="1:8" ht="75">
      <c r="A34" s="53" t="str">
        <f>Kriteeristö!U34</f>
        <v>HAL-17, L:, E:Tärkeä, S:Tärkeä, TS:</v>
      </c>
      <c r="B34" s="38" t="str">
        <f>Kriteeristö!L34</f>
        <v>Tietojärjestelmien toiminnallinen käytettävyys ja vikasietoisuus</v>
      </c>
      <c r="C34" s="36" t="str">
        <f>Kriteeristö!M34</f>
        <v xml:space="preserve">Organisaatio varmistaa tehtävien hoitamisen kannalta olennaisten tietojärjestelmien vikasietoisuuden ja toiminnallisen käytettävyyden riittävällä testauksella säännöllisesti.
</v>
      </c>
      <c r="D34" s="51" t="s">
        <v>88</v>
      </c>
      <c r="E34" s="36"/>
      <c r="F34" s="38" t="str">
        <f>Kriteeristö!AN34</f>
        <v>Ei ehdoteta hankintaan</v>
      </c>
      <c r="G34" s="29"/>
      <c r="H34" s="29"/>
    </row>
    <row r="35" spans="1:8" ht="75">
      <c r="A35" s="53" t="str">
        <f>Kriteeristö!U35</f>
        <v>HAL-17.1, L:Julkinen, E:Vähäinen, S:Vähäinen, TS:Henkilötieto</v>
      </c>
      <c r="B35" s="38" t="str">
        <f>Kriteeristö!L35</f>
        <v>Tietojärjestelmien toiminnallinen käytettävyys ja vikasietoisuus - saavutettavuus</v>
      </c>
      <c r="C35" s="36" t="str">
        <f>Kriteeristö!M35</f>
        <v xml:space="preserve">Organisaation on varmistettava digitaalisten palveluiden saavutettavuus lainsäädännön edellyttämässä laajuudessa.
</v>
      </c>
      <c r="D35" s="51" t="s">
        <v>89</v>
      </c>
      <c r="E35" s="36" t="s">
        <v>90</v>
      </c>
      <c r="F35" s="38" t="str">
        <f>Kriteeristö!AN35</f>
        <v>Olennainen</v>
      </c>
      <c r="G35" s="29"/>
      <c r="H35" s="29"/>
    </row>
    <row r="36" spans="1:8" ht="87.6">
      <c r="A36" s="53" t="str">
        <f>Kriteeristö!U36</f>
        <v>HAL-18, L:Julkinen, E:, S:, TS:</v>
      </c>
      <c r="B36" s="38" t="str">
        <f>Kriteeristö!L36</f>
        <v>Asiakirjajulkisuuden toteuttaminen</v>
      </c>
      <c r="C36" s="36" t="str">
        <f>Kriteeristö!M36</f>
        <v xml:space="preserve">Organisaatio varmistaa, että tietojärjestelmät, tietovarantojen tietorakenteet ja niihin liittyvän tietojenkäsittely suunnitellaan siten, että asiakirjojen julkisuus voidaan vaivatta toteuttaa.
</v>
      </c>
      <c r="D36" s="51" t="s">
        <v>91</v>
      </c>
      <c r="E36" s="36" t="s">
        <v>92</v>
      </c>
      <c r="F36" s="38" t="str">
        <f>Kriteeristö!AN36</f>
        <v>Olennainen</v>
      </c>
      <c r="G36" s="29"/>
      <c r="H36" s="29"/>
    </row>
    <row r="37" spans="1:8" ht="50.1">
      <c r="A37" s="53" t="str">
        <f>Kriteeristö!U37</f>
        <v>HAL-19, L:Julkinen, E:, S:, TS:Henkilötieto</v>
      </c>
      <c r="B37" s="38" t="str">
        <f>Kriteeristö!L37</f>
        <v xml:space="preserve">Tietojen käsittely </v>
      </c>
      <c r="C37" s="36" t="str">
        <f>Kriteeristö!M37</f>
        <v xml:space="preserve">Organisaatio varmistaa, että tietoja käsitellään ja säilytetään siten, että pääsy tietoihin suojataan sivullisilta.
</v>
      </c>
      <c r="D37" s="51" t="s">
        <v>93</v>
      </c>
      <c r="E37" s="36"/>
      <c r="F37" s="38" t="str">
        <f>Kriteeristö!AN37</f>
        <v>Olennainen</v>
      </c>
      <c r="G37" s="29"/>
      <c r="H37" s="29"/>
    </row>
    <row r="38" spans="1:8" ht="75">
      <c r="A38" s="53" t="str">
        <f>Kriteeristö!U38</f>
        <v>FYY-01, L:Julkinen, E:Vähäinen, S:Vähäinen, TS:Henkilötieto</v>
      </c>
      <c r="B38" s="38" t="str">
        <f>Kriteeristö!L38</f>
        <v>Fyysisen turvallisuuden riskien arviointi</v>
      </c>
      <c r="C38" s="36" t="str">
        <f>Kriteeristö!M38</f>
        <v xml:space="preserve">Fyysiset turvatoimet on mitoitettava riskien arvioinnin mukaisesti. 
</v>
      </c>
      <c r="D38" s="51" t="s">
        <v>94</v>
      </c>
      <c r="E38" s="36" t="s">
        <v>95</v>
      </c>
      <c r="F38" s="38" t="str">
        <f>Kriteeristö!AN38</f>
        <v>Olennainen</v>
      </c>
      <c r="G38" s="29"/>
      <c r="H38" s="29"/>
    </row>
    <row r="39" spans="1:8" ht="112.5">
      <c r="A39" s="53" t="str">
        <f>Kriteeristö!U39</f>
        <v>FYY-01.1, L:TL III, E:, S:, TS:</v>
      </c>
      <c r="B39" s="38" t="str">
        <f>Kriteeristö!L39</f>
        <v>Fyysisen turvallisuuden riskien arviointi - TEMPEST</v>
      </c>
      <c r="C39" s="36" t="str">
        <f>Kriteeristö!M39</f>
        <v xml:space="preserve">Arvioitaessa tiedon käsittelyä päätelaitteessa ja turvallisuusalueiden sijaintia on riittävässä määrin otettava huomioon myös TEMPEST-riski.
</v>
      </c>
      <c r="D39" s="51" t="s">
        <v>96</v>
      </c>
      <c r="E39" s="36" t="s">
        <v>97</v>
      </c>
      <c r="F39" s="38" t="str">
        <f>Kriteeristö!AN39</f>
        <v>Ei ehdoteta hankintaan</v>
      </c>
      <c r="G39" s="29"/>
      <c r="H39" s="29"/>
    </row>
    <row r="40" spans="1:8" ht="174.95">
      <c r="A40" s="53" t="str">
        <f>Kriteeristö!U40</f>
        <v>FYY-02, L:Julkinen, E:Vähäinen, S:Vähäinen, TS:Henkilötieto</v>
      </c>
      <c r="B40" s="38" t="str">
        <f>Kriteeristö!L40</f>
        <v>Fyysisten turvatoimien valinta (monitasoinen suojaus)</v>
      </c>
      <c r="C40" s="36" t="str">
        <f>Kriteeristö!M40</f>
        <v xml:space="preserve">Turvallisuusalueilla ja niitä ympäröivissä tiloissa on toteutettava turvallisuusalueen suojausta vaarantavia tekoja ennaltaehkäiseviä, estäviä ja rajaavia toimenpiteitä, toimenpiteitä suojausta vaarantavien tekojen havaitsemiseksi ja jäljittämiseksi sekä toimenpiteitä vaarantanutta tekoa edeltäneen turvallisuustason palauttamiseksi viipymättä monitasoista suojausperiaatetta soveltaen.
Laitteet on tarkastettava ja huollettava säännöllisin väliajoin.
</v>
      </c>
      <c r="D40" s="51" t="s">
        <v>98</v>
      </c>
      <c r="E40" s="36"/>
      <c r="F40" s="38" t="str">
        <f>Kriteeristö!AN40</f>
        <v>Olennainen</v>
      </c>
      <c r="G40" s="29"/>
      <c r="H40" s="29"/>
    </row>
    <row r="41" spans="1:8" ht="50.1">
      <c r="A41" s="53" t="str">
        <f>Kriteeristö!U41</f>
        <v>FYY-03, L:Salassa pidettävä, E:, S:, TS:Erityinen henkilötietoryhmä</v>
      </c>
      <c r="B41" s="38" t="str">
        <f>Kriteeristö!L41</f>
        <v xml:space="preserve">Tiedon käsittely 
</v>
      </c>
      <c r="C41" s="36" t="str">
        <f>Kriteeristö!M41</f>
        <v xml:space="preserve">Tietoja on käsiteltävä siten, että pääsy niihin suojataan sivullisilta.
</v>
      </c>
      <c r="D41" s="51" t="s">
        <v>99</v>
      </c>
      <c r="E41" s="36"/>
      <c r="F41" s="38" t="str">
        <f>Kriteeristö!AN41</f>
        <v>Valinnainen</v>
      </c>
      <c r="G41" s="29"/>
      <c r="H41" s="29"/>
    </row>
    <row r="42" spans="1:8" ht="37.5">
      <c r="A42" s="53" t="str">
        <f>Kriteeristö!U42</f>
        <v>FYY-03.1, L:TL I, E:, S:, TS:</v>
      </c>
      <c r="B42" s="38" t="str">
        <f>Kriteeristö!L42</f>
        <v xml:space="preserve">Tiedon käsittely - TL I 
</v>
      </c>
      <c r="C42" s="36" t="str">
        <f>Kriteeristö!M42</f>
        <v xml:space="preserve">Turvallisuusluokan I asiakirjaa saa käsitellä ainoastaan turva-alueella.
</v>
      </c>
      <c r="D42" s="51"/>
      <c r="E42" s="36" t="s">
        <v>100</v>
      </c>
      <c r="F42" s="38" t="str">
        <f>Kriteeristö!AN42</f>
        <v>Ei ehdoteta hankintaan</v>
      </c>
      <c r="G42" s="29"/>
      <c r="H42" s="29"/>
    </row>
    <row r="43" spans="1:8" ht="99.95">
      <c r="A43" s="53" t="str">
        <f>Kriteeristö!U43</f>
        <v>FYY-04, L:Salassa pidettävä, E:, S:, TS:Erityinen henkilötietoryhmä</v>
      </c>
      <c r="B43" s="38" t="str">
        <f>Kriteeristö!L43</f>
        <v xml:space="preserve">Tiedon säilytys 
</v>
      </c>
      <c r="C43" s="36" t="str">
        <f>Kriteeristö!M43</f>
        <v>Tietoja on säilytettävä siten, että pääsy niihin suojataan sivullisilta.</v>
      </c>
      <c r="D43" s="51" t="s">
        <v>101</v>
      </c>
      <c r="E43" s="36" t="s">
        <v>102</v>
      </c>
      <c r="F43" s="38" t="str">
        <f>Kriteeristö!AN43</f>
        <v>Valinnainen</v>
      </c>
      <c r="G43" s="29"/>
      <c r="H43" s="29"/>
    </row>
    <row r="44" spans="1:8" ht="300">
      <c r="A44" s="53" t="str">
        <f>Kriteeristö!U44</f>
        <v>FYY-04.1, L:TL IV, E:, S:, TS:</v>
      </c>
      <c r="B44" s="38" t="str">
        <f>Kriteeristö!L44</f>
        <v xml:space="preserve">Tiedon säilytys - TL IV
</v>
      </c>
      <c r="C44" s="36" t="str">
        <f>Kriteeristö!M44</f>
        <v xml:space="preserve">Organisaatio säilyttää paperiasiakirjat ja muut ei sähköisessä muodossa olevat tiedot
- turva-alueella tai hallinnollisella alueella soveltuvaksi arvioidussa toimistokalusteessa tai
- tilapäisesti turvallisuusalueiden ulkopuolella jos tiedon käsittelijä on sitoutunut noudattamaan annetuissa turvallisuusohjeissa määrättyjä korvaavia toimenpiteitä.
Organisaatio säilyttää sähköisessä muodossa olevat tiedot 
- turva-alueella tai hallinnollisella alueella vaatimukset täyttävässä laitteessa tai sähköisessä tietovälineessä tai 
- turvallisuusalueiden ulkopuolella vaatimukset täyttävässä päätelaitteessa  tai sähköisessä tietovälineessä valvotussa tilassa tai soveltuvassa lukitussa toimistokalusteessa turvapussissa tai vastaavalla tavalla.
</v>
      </c>
      <c r="D44" s="51" t="s">
        <v>103</v>
      </c>
      <c r="E44" s="36"/>
      <c r="F44" s="38" t="str">
        <f>Kriteeristö!AN44</f>
        <v>Ei ehdoteta hankintaan</v>
      </c>
      <c r="G44" s="29"/>
      <c r="H44" s="29"/>
    </row>
    <row r="45" spans="1:8" ht="75">
      <c r="A45" s="53" t="str">
        <f>Kriteeristö!U45</f>
        <v>FYY-04.2, L:TL IV, E:, S:, TS:</v>
      </c>
      <c r="B45" s="38" t="str">
        <f>Kriteeristö!L45</f>
        <v xml:space="preserve">Tiedon säilytys - Tietovarannot ja tietojärjestelmät - TL IV
</v>
      </c>
      <c r="C45" s="36" t="str">
        <f>Kriteeristö!M45</f>
        <v xml:space="preserve">Turvallisuusluokan IV asiakirjoja sisältävät tietovarannot ja näiden asiakirjojen käsittelyyn käytetyt tietojärjestelmät on sijoitettava turvallisuusalueelle (hallinnollinen alue tai turva-alue).
</v>
      </c>
      <c r="D45" s="51" t="s">
        <v>104</v>
      </c>
      <c r="E45" s="36"/>
      <c r="F45" s="38" t="str">
        <f>Kriteeristö!AN45</f>
        <v>Ei ehdoteta hankintaan</v>
      </c>
      <c r="G45" s="29"/>
      <c r="H45" s="29"/>
    </row>
    <row r="46" spans="1:8" ht="75">
      <c r="A46" s="53" t="str">
        <f>Kriteeristö!U46</f>
        <v>FYY-04.3, L:TL III, E:, S:, TS:</v>
      </c>
      <c r="B46" s="38" t="str">
        <f>Kriteeristö!L46</f>
        <v xml:space="preserve">Tiedon säilytys - Tietovarannot ja tietojärjestelmät - TL III 
</v>
      </c>
      <c r="C46" s="36" t="str">
        <f>Kriteeristö!M46</f>
        <v xml:space="preserve">Turvallisuusluokan II tai III asiakirjoja sisältävät tietovarannot ja näiden asiakirjojen käsittelyyn käytetyt tietojärjestelmät on sijoitettava turva-alueelle.
</v>
      </c>
      <c r="D46" s="51" t="s">
        <v>105</v>
      </c>
      <c r="E46" s="36"/>
      <c r="F46" s="38" t="str">
        <f>Kriteeristö!AN46</f>
        <v>Ei ehdoteta hankintaan</v>
      </c>
      <c r="G46" s="29"/>
      <c r="H46" s="29"/>
    </row>
    <row r="47" spans="1:8" ht="187.5">
      <c r="A47" s="53" t="str">
        <f>Kriteeristö!U47</f>
        <v>FYY-04.4, L:TL III, E:, S:, TS:</v>
      </c>
      <c r="B47" s="38" t="str">
        <f>Kriteeristö!L47</f>
        <v xml:space="preserve">Tiedon säilytys - TL III
</v>
      </c>
      <c r="C47" s="36" t="str">
        <f>Kriteeristö!M47</f>
        <v xml:space="preserve">Organisaatio säilyttää paperiasiakirjat ja muut ei sähköisessä muodossa olevat tiedot turva-alueella soveltuvaksi arvioidussa säilytysratkaisussa.
Organisaatio säilyttää sähköisessä muodossa olevat tiedot 
- turva-alueella vaatimukset täyttävässä laitteessa tai  sähköisessä tietovälineessä tai
- turva-alueiden ulkopuolella vaatimukset täyttävässä päätelaitteessa valvotussa tilassa tai soveltuvassa lukitussa toimistokalusteessa turvapussissa tai vastaavalla tavalla.
</v>
      </c>
      <c r="D47" s="51" t="s">
        <v>106</v>
      </c>
      <c r="E47" s="36"/>
      <c r="F47" s="38" t="str">
        <f>Kriteeristö!AN47</f>
        <v>Ei ehdoteta hankintaan</v>
      </c>
      <c r="G47" s="29"/>
      <c r="H47" s="29"/>
    </row>
    <row r="48" spans="1:8" ht="125.1">
      <c r="A48" s="53" t="str">
        <f>Kriteeristö!U48</f>
        <v>FYY-04.5, L:TL II, E:, S:, TS:</v>
      </c>
      <c r="B48" s="38" t="str">
        <f>Kriteeristö!L48</f>
        <v xml:space="preserve">Tiedon säilytys - TL II
</v>
      </c>
      <c r="C48" s="36" t="str">
        <f>Kriteeristö!M48</f>
        <v xml:space="preserve">Organisaatio säilyttää paperiasiakirjat ja muut ei sähköisessä muodossa olevat tiedot turva-alueella soveltuvaksi arvioidussa säilytysratkaisussa.
Organisaatio säilyttää sähköisessä muodossa olevat tiedot turva-alueella vaatimukset täyttävässä laitteessa tai sähköisessä tietovälineessä.
</v>
      </c>
      <c r="D48" s="51" t="s">
        <v>107</v>
      </c>
      <c r="E48" s="36"/>
      <c r="F48" s="38" t="str">
        <f>Kriteeristö!AN48</f>
        <v>Ei ehdoteta hankintaan</v>
      </c>
      <c r="G48" s="29"/>
      <c r="H48" s="29"/>
    </row>
    <row r="49" spans="1:8" ht="37.5">
      <c r="A49" s="53" t="str">
        <f>Kriteeristö!U49</f>
        <v>FYY-04.6, L:TL I, E:, S:, TS:</v>
      </c>
      <c r="B49" s="38" t="str">
        <f>Kriteeristö!L49</f>
        <v xml:space="preserve">Tiedon säilytys - TL I
</v>
      </c>
      <c r="C49" s="36" t="str">
        <f>Kriteeristö!M49</f>
        <v xml:space="preserve">Turvallisuusluokan I asiakirjaa saa säilyttää ainoastaan turva-alueella.
</v>
      </c>
      <c r="D49" s="51"/>
      <c r="E49" s="36" t="s">
        <v>100</v>
      </c>
      <c r="F49" s="38" t="str">
        <f>Kriteeristö!AN49</f>
        <v>Ei ehdoteta hankintaan</v>
      </c>
      <c r="G49" s="29"/>
      <c r="H49" s="29"/>
    </row>
    <row r="50" spans="1:8" ht="87.6">
      <c r="A50" s="53" t="str">
        <f>Kriteeristö!U50</f>
        <v>FYY-05, L:Salassa pidettävä, E:, S:, TS:Erityinen henkilötietoryhmä</v>
      </c>
      <c r="B50" s="38" t="str">
        <f>Kriteeristö!L50</f>
        <v>Turvallisuusalue</v>
      </c>
      <c r="C50" s="36" t="str">
        <f>Kriteeristö!M50</f>
        <v xml:space="preserve">Turvallisuusalueiden eli hallinnollisten alueiden sekä turva-alueiden on noudatettava tässä kriteerissä annettuja suosituksia.
</v>
      </c>
      <c r="D50" s="51" t="s">
        <v>108</v>
      </c>
      <c r="E50" s="36"/>
      <c r="F50" s="38" t="str">
        <f>Kriteeristö!AN50</f>
        <v>Valinnainen</v>
      </c>
      <c r="G50" s="29"/>
      <c r="H50" s="29"/>
    </row>
    <row r="51" spans="1:8" ht="99.95">
      <c r="A51" s="53" t="str">
        <f>Kriteeristö!U51</f>
        <v>FYY-05.1, L:TL IV, E:, S:, TS:</v>
      </c>
      <c r="B51" s="38" t="str">
        <f>Kriteeristö!L51</f>
        <v>Turvallisuusalue - Äänieristys</v>
      </c>
      <c r="C51" s="36" t="str">
        <f>Kriteeristö!M51</f>
        <v xml:space="preserve">Alueen äänieristyksen tulee estää asiaan kuulumattomia henkilöitä kuulemasta selväsanaisena suojattavaan tietoon liittyviä keskusteluja. Äänieristys tulee ottaa huomioon myös alueen sisällä, mikäli siellä keskustellaan suojattavista tiedoista, joihin kaikilla ei ole tiedonsaantitarvetta.
</v>
      </c>
      <c r="D51" s="51" t="s">
        <v>109</v>
      </c>
      <c r="E51" s="36"/>
      <c r="F51" s="38" t="str">
        <f>Kriteeristö!AN51</f>
        <v>Ei ehdoteta hankintaan</v>
      </c>
      <c r="G51" s="29"/>
      <c r="H51" s="29"/>
    </row>
    <row r="52" spans="1:8" ht="137.44999999999999">
      <c r="A52" s="53" t="str">
        <f>Kriteeristö!U52</f>
        <v>FYY-05.2, L:Salassa pidettävä, E:, S:, TS:Erityinen henkilötietoryhmä</v>
      </c>
      <c r="B52" s="38" t="str">
        <f>Kriteeristö!L52</f>
        <v>Turvallisuusalue - Salaa katselun estäminen</v>
      </c>
      <c r="C52" s="36" t="str">
        <f>Kriteeristö!M52</f>
        <v xml:space="preserve">Jos tietoihin kohdistuu salaa tai vahingossa  katselun riski, on riskin torjumiseksi tehtävä asianmukaiset toimenpiteet.
</v>
      </c>
      <c r="D52" s="51" t="s">
        <v>110</v>
      </c>
      <c r="E52" s="36"/>
      <c r="F52" s="38" t="str">
        <f>Kriteeristö!AN52</f>
        <v>Valinnainen</v>
      </c>
      <c r="G52" s="29"/>
      <c r="H52" s="29"/>
    </row>
    <row r="53" spans="1:8" ht="150">
      <c r="A53" s="53" t="str">
        <f>Kriteeristö!U53</f>
        <v>FYY-05.3, L:TL II, E:, S:, TS:</v>
      </c>
      <c r="B53" s="38" t="str">
        <f>Kriteeristö!L53</f>
        <v>Turvallisuusalue - Tila- ja laitetarkastukset</v>
      </c>
      <c r="C53" s="36" t="str">
        <f>Kriteeristö!M53</f>
        <v xml:space="preserve">Organisaation on tarkastettava kaikki elektroniset laitteet, ennen kuin niitä käytetään sellaisella alueella, jossa käsitellään turvallisuusluokan II tietoja, mikäli tietoihin kohdistuva uhka arvioidaan korkeaksi.
Myös alue on tarkastettava fyysisesti tai teknisesti säännöllisin väliajoin sekä mahdollisen luvattoman sisäänpääsyn tai sen epäilyn johdosta.
</v>
      </c>
      <c r="D53" s="51" t="s">
        <v>111</v>
      </c>
      <c r="E53" s="36" t="s">
        <v>112</v>
      </c>
      <c r="F53" s="38" t="str">
        <f>Kriteeristö!AN53</f>
        <v>Ei ehdoteta hankintaan</v>
      </c>
      <c r="G53" s="29"/>
      <c r="H53" s="29"/>
    </row>
    <row r="54" spans="1:8" ht="200.1">
      <c r="A54" s="53" t="str">
        <f>Kriteeristö!U54</f>
        <v>FYY-05.4, L:Salassa pidettävä, E:, S:, TS:Erityinen henkilötietoryhmä</v>
      </c>
      <c r="B54" s="38" t="str">
        <f>Kriteeristö!L54</f>
        <v>Turvallisuusalue - Pääsyoikeuksien ja avaintenhallinnan menettelyt</v>
      </c>
      <c r="C54" s="36" t="str">
        <f>Kriteeristö!M54</f>
        <v xml:space="preserve">Organisaation on määriteltävä alueen pääsyoikeuksien ja avainhallinnan menettelyt ja roolit.
</v>
      </c>
      <c r="D54" s="51" t="s">
        <v>113</v>
      </c>
      <c r="E54" s="36" t="s">
        <v>114</v>
      </c>
      <c r="F54" s="38" t="str">
        <f>Kriteeristö!AN54</f>
        <v>Valinnainen</v>
      </c>
      <c r="G54" s="29"/>
      <c r="H54" s="29"/>
    </row>
    <row r="55" spans="1:8" ht="112.5">
      <c r="A55" s="53" t="str">
        <f>Kriteeristö!U55</f>
        <v>FYY-05.5, L:TL IV, E:, S:, TS:</v>
      </c>
      <c r="B55" s="38" t="str">
        <f>Kriteeristö!L55</f>
        <v>Turvallisuusalue - Vierailijat</v>
      </c>
      <c r="C55" s="36" t="str">
        <f>Kriteeristö!M55</f>
        <v xml:space="preserve">Muilla kuin organisaation asianmukaisesti valtuuttamilla henkilöillä (vierailijoilla) on aina saattaja.
</v>
      </c>
      <c r="D55" s="51" t="s">
        <v>115</v>
      </c>
      <c r="E55" s="36" t="s">
        <v>116</v>
      </c>
      <c r="F55" s="38" t="str">
        <f>Kriteeristö!AN55</f>
        <v>Ei ehdoteta hankintaan</v>
      </c>
      <c r="G55" s="29"/>
      <c r="H55" s="29"/>
    </row>
    <row r="56" spans="1:8" ht="75">
      <c r="A56" s="53" t="str">
        <f>Kriteeristö!U56</f>
        <v>FYY-06, L:Salassa pidettävä, E:, S:, TS:</v>
      </c>
      <c r="B56" s="38" t="str">
        <f>Kriteeristö!L56</f>
        <v>Hallinnollinen alue</v>
      </c>
      <c r="C56" s="36" t="str">
        <f>Kriteeristö!M56</f>
        <v xml:space="preserve">Hallinnollisen alueen tulee täyttää tässä osiossa esitetyt suositukset sekä riskilähtöisesti arvioidut tarkennukset siten, että turvatoimien tavoitteet saavutetaan.
</v>
      </c>
      <c r="D56" s="51" t="s">
        <v>117</v>
      </c>
      <c r="E56" s="36" t="s">
        <v>118</v>
      </c>
      <c r="F56" s="38" t="str">
        <f>Kriteeristö!AN56</f>
        <v>Valinnainen</v>
      </c>
      <c r="G56" s="29"/>
      <c r="H56" s="29"/>
    </row>
    <row r="57" spans="1:8" ht="75">
      <c r="A57" s="53" t="str">
        <f>Kriteeristö!U57</f>
        <v>FYY-06.1, L:TL IV, E:, S:, TS:</v>
      </c>
      <c r="B57" s="38" t="str">
        <f>Kriteeristö!L57</f>
        <v xml:space="preserve">Hallinnollinen alue - alueen raja ja rakenteet </v>
      </c>
      <c r="C57" s="36" t="str">
        <f>Kriteeristö!M57</f>
        <v xml:space="preserve">Alueella on oltava selkeästi määritelty näkyvä raja, mutta aluetta rajaavalle rakenteelle (seinät, ovet ja ikkunat sekä lattia- ja kattorakenteet) ei aseteta erityisiä vaatimuksia.
</v>
      </c>
      <c r="D57" s="51"/>
      <c r="E57" s="36"/>
      <c r="F57" s="38" t="str">
        <f>Kriteeristö!AN57</f>
        <v>Ei ehdoteta hankintaan</v>
      </c>
      <c r="G57" s="29"/>
      <c r="H57" s="29"/>
    </row>
    <row r="58" spans="1:8" ht="50.1">
      <c r="A58" s="53" t="str">
        <f>Kriteeristö!U58</f>
        <v>FYY-06.2, L:TL IV, E:, S:, TS:</v>
      </c>
      <c r="B58" s="38" t="str">
        <f>Kriteeristö!L58</f>
        <v>Hallinnollinen alue - kulunvalvonta</v>
      </c>
      <c r="C58" s="36" t="str">
        <f>Kriteeristö!M58</f>
        <v xml:space="preserve">Alueelle pääsyä tulee valvoa, mikäli se on riskien arvioinnin perusteella tarkoituksenmukaista.
</v>
      </c>
      <c r="D58" s="51" t="s">
        <v>119</v>
      </c>
      <c r="E58" s="36"/>
      <c r="F58" s="38" t="str">
        <f>Kriteeristö!AN58</f>
        <v>Ei ehdoteta hankintaan</v>
      </c>
      <c r="G58" s="29"/>
      <c r="H58" s="29"/>
    </row>
    <row r="59" spans="1:8" ht="99.95">
      <c r="A59" s="53" t="str">
        <f>Kriteeristö!U59</f>
        <v>FYY-06.3, L:Salassa pidettävä, E:, S:, TS:</v>
      </c>
      <c r="B59" s="38" t="str">
        <f>Kriteeristö!L59</f>
        <v xml:space="preserve">Hallinnollinen alue - pääsyoikeuksien myöntäminen </v>
      </c>
      <c r="C59" s="36" t="str">
        <f>Kriteeristö!M59</f>
        <v xml:space="preserve">Ainoastaan asianmukaisesti valtuutetuilla henkilöillä on itsenäinen pääsy alueelle. Itsenäisen pääsyn alueelle voi myöntää tiedoista vastaava organisaatio tai sovituilla menettelyillä fyysisen tilan hallinnasta vastaava palvelun tuottaja, kuten esimerkiksi pilvipalvelun toimittaja. 
</v>
      </c>
      <c r="D59" s="51"/>
      <c r="E59" s="36"/>
      <c r="F59" s="38" t="str">
        <f>Kriteeristö!AN59</f>
        <v>Valinnainen</v>
      </c>
      <c r="G59" s="29"/>
      <c r="H59" s="29"/>
    </row>
    <row r="60" spans="1:8" ht="62.45">
      <c r="A60" s="53" t="str">
        <f>Kriteeristö!U60</f>
        <v>FYY-06.4, L:TL IV, E:, S:, TS:</v>
      </c>
      <c r="B60" s="38" t="str">
        <f>Kriteeristö!L60</f>
        <v>Hallinnollinen alue - tunkeutumisen ilmaisujärjestelmät</v>
      </c>
      <c r="C60" s="36" t="str">
        <f>Kriteeristö!M60</f>
        <v xml:space="preserve">Tarvittaessa tunkeutumisen ilmaisujärjestelmää voidaan käyttää täydentävänä monitasoisen suojauksen riskienhallintakeinona.
</v>
      </c>
      <c r="D60" s="51" t="s">
        <v>120</v>
      </c>
      <c r="E60" s="36" t="s">
        <v>121</v>
      </c>
      <c r="F60" s="38" t="str">
        <f>Kriteeristö!AN60</f>
        <v>Ei ehdoteta hankintaan</v>
      </c>
      <c r="G60" s="29"/>
      <c r="H60" s="29"/>
    </row>
    <row r="61" spans="1:8" ht="75">
      <c r="A61" s="53" t="str">
        <f>Kriteeristö!U61</f>
        <v>FYY-07, L:TL III, E:, S:, TS:</v>
      </c>
      <c r="B61" s="38" t="str">
        <f>Kriteeristö!L61</f>
        <v>Turva-alue</v>
      </c>
      <c r="C61" s="36" t="str">
        <f>Kriteeristö!M61</f>
        <v xml:space="preserve">Turva-alueen tulee täyttää tässä osiossa esitetyt suositukset sekä riskilähtöisesti arvioidut lisätarkennukset siten, että monitasoisen suojauksen tavoitteet saavutetaan.
</v>
      </c>
      <c r="D61" s="51" t="s">
        <v>122</v>
      </c>
      <c r="E61" s="36" t="s">
        <v>123</v>
      </c>
      <c r="F61" s="38" t="str">
        <f>Kriteeristö!AN61</f>
        <v>Ei ehdoteta hankintaan</v>
      </c>
      <c r="G61" s="29"/>
      <c r="H61" s="29"/>
    </row>
    <row r="62" spans="1:8" ht="112.5">
      <c r="A62" s="53" t="str">
        <f>Kriteeristö!U62</f>
        <v>FYY-07.1, L:TL III, E:, S:, TS:</v>
      </c>
      <c r="B62" s="38" t="str">
        <f>Kriteeristö!L62</f>
        <v xml:space="preserve">Turva-alue - alueen raja ja rakenteet </v>
      </c>
      <c r="C62" s="36" t="str">
        <f>Kriteeristö!M62</f>
        <v xml:space="preserve">Alueella on oltava selkeästi määritelty näkyvä raja. Mikäli alueella ei ole tiedon säilytykseen riittäväksi arvioitua säilytysratkaisua, on alueen seinien, lattian, katon, ikkunoiden ja ovien tarjottava tietojen säilytyksen edellyttämä turvallisuustaso.
</v>
      </c>
      <c r="D62" s="51"/>
      <c r="E62" s="36" t="s">
        <v>124</v>
      </c>
      <c r="F62" s="38" t="str">
        <f>Kriteeristö!AN62</f>
        <v>Ei ehdoteta hankintaan</v>
      </c>
      <c r="G62" s="29"/>
      <c r="H62" s="29"/>
    </row>
    <row r="63" spans="1:8" ht="50.1">
      <c r="A63" s="53" t="str">
        <f>Kriteeristö!U63</f>
        <v>FYY-07.2, L:TL III, E:, S:, TS:</v>
      </c>
      <c r="B63" s="38" t="str">
        <f>Kriteeristö!L63</f>
        <v>Turva-alue - kulunvalvonta</v>
      </c>
      <c r="C63" s="36" t="str">
        <f>Kriteeristö!M63</f>
        <v xml:space="preserve">Alueen rajalla tulee valvoa kaikkea kulkua sisään ja ulos kulkulupien avulla tai tunnistamalla henkilöt henkilökohtaisesti.
</v>
      </c>
      <c r="D63" s="51" t="s">
        <v>125</v>
      </c>
      <c r="E63" s="36"/>
      <c r="F63" s="38" t="str">
        <f>Kriteeristö!AN63</f>
        <v>Ei ehdoteta hankintaan</v>
      </c>
      <c r="G63" s="29"/>
      <c r="H63" s="29"/>
    </row>
    <row r="64" spans="1:8" ht="75">
      <c r="A64" s="53" t="str">
        <f>Kriteeristö!U64</f>
        <v>FYY-07.3, L:TL III, E:, S:, TS:</v>
      </c>
      <c r="B64" s="38" t="str">
        <f>Kriteeristö!L64</f>
        <v xml:space="preserve">Turva-alue - pääsyoikeuksien myöntäminen </v>
      </c>
      <c r="C64" s="36" t="str">
        <f>Kriteeristö!M64</f>
        <v xml:space="preserve">Itsenäinen pääsyoikeus alueelle voidaan myöntää vain organisaation asianmukaisesti valtuuttamalle henkilölle, jonka luotettavuus on varmistettu ja jolla on erityinen lupa tulla alueelle.
</v>
      </c>
      <c r="D64" s="51" t="s">
        <v>126</v>
      </c>
      <c r="E64" s="36" t="s">
        <v>127</v>
      </c>
      <c r="F64" s="38" t="str">
        <f>Kriteeristö!AN64</f>
        <v>Ei ehdoteta hankintaan</v>
      </c>
      <c r="G64" s="29"/>
      <c r="H64" s="29"/>
    </row>
    <row r="65" spans="1:8" ht="162.6">
      <c r="A65" s="53" t="str">
        <f>Kriteeristö!U65</f>
        <v>FYY-07.4, L:TL III, E:, S:, TS:</v>
      </c>
      <c r="B65" s="38" t="str">
        <f>Kriteeristö!L65</f>
        <v>Turva-alue - vierailijat</v>
      </c>
      <c r="C65" s="36" t="str">
        <f>Kriteeristö!M65</f>
        <v xml:space="preserve">Jos turva-alueelle tulo merkitsee käytännössä välitöntä pääsyä siellä oleviin turvallisuusluokiteltuihin tietoihin:
-  alueella tavanomaisesti säilytettyjen tietojen korkein turvallisuusluokka on ilmoitettava selkeästi sekä 
- kaikilla vierailijoilla on oltava erityinen lupa tulla alueelle, heillä on aina oltava saattaja ja heidän luotettavuutensa on oltava varmistettu asianmukaisesti, paitsi jos on varmistettu, ettei vierailijoilla ole pääsyä turvallisuusluokiteltuihin tietoihin.
</v>
      </c>
      <c r="D65" s="51" t="s">
        <v>128</v>
      </c>
      <c r="E65" s="36" t="s">
        <v>129</v>
      </c>
      <c r="F65" s="38" t="str">
        <f>Kriteeristö!AN65</f>
        <v>Ei ehdoteta hankintaan</v>
      </c>
      <c r="G65" s="29"/>
      <c r="H65" s="29"/>
    </row>
    <row r="66" spans="1:8" ht="37.5">
      <c r="A66" s="53" t="str">
        <f>Kriteeristö!U66</f>
        <v>FYY-07.5, L:TL III, E:, S:, TS:</v>
      </c>
      <c r="B66" s="38" t="str">
        <f>Kriteeristö!L66</f>
        <v>Turva-alue - turvallisuusohjeet</v>
      </c>
      <c r="C66" s="36" t="str">
        <f>Kriteeristö!M66</f>
        <v xml:space="preserve">Kullekin turva-alueelle on laadittava ohjeet noudatettavista turvallisuusmenettelyistä.
</v>
      </c>
      <c r="D66" s="51"/>
      <c r="E66" s="36"/>
      <c r="F66" s="38" t="str">
        <f>Kriteeristö!AN66</f>
        <v>Ei ehdoteta hankintaan</v>
      </c>
      <c r="G66" s="29"/>
      <c r="H66" s="29"/>
    </row>
    <row r="67" spans="1:8" ht="99.95">
      <c r="A67" s="53" t="str">
        <f>Kriteeristö!U67</f>
        <v>FYY-07.6, L:TL III, E:, S:, TS:</v>
      </c>
      <c r="B67" s="38" t="str">
        <f>Kriteeristö!L67</f>
        <v>Turva-alue - tunkeutumisen ilmaisujärjestelmät</v>
      </c>
      <c r="C67" s="36" t="str">
        <f>Kriteeristö!M67</f>
        <v xml:space="preserve">Alue, jolla ei ole henkilöstöä palveluksessa vuorokauden ympäri, on tarvittaessa tarkastettava normaalin työajan päätteeksi ja satunnaisiin aikoihin työajan ulkopuolella, paitsi jos alueelle on asennettu tunkeutumisen ilmaisujärjestelmä (murtohälytysjärjestelmä).
</v>
      </c>
      <c r="D67" s="51"/>
      <c r="E67" s="36"/>
      <c r="F67" s="38" t="str">
        <f>Kriteeristö!AN67</f>
        <v>Ei ehdoteta hankintaan</v>
      </c>
      <c r="G67" s="29"/>
      <c r="H67" s="29"/>
    </row>
    <row r="68" spans="1:8" ht="262.5">
      <c r="A68" s="53" t="str">
        <f>Kriteeristö!U68</f>
        <v>FYY-07.7, L:TL III, E:, S:, TS:</v>
      </c>
      <c r="B68" s="38" t="str">
        <f>Kriteeristö!L68</f>
        <v>Turva-alue - säilytysyksiköiden avaimet ja pääsykoodit</v>
      </c>
      <c r="C68" s="36" t="str">
        <f>Kriteeristö!M68</f>
        <v xml:space="preserve">Säilytysyksiköiden avaimet tai pääsykoodit ovat sellaisten henkilöiden hallussa, joilla on tiedonsaantitarve säilytysyksikössä säilytettävään tietoon. Kyseisten henkilöiden on osattava numeroyhdistelmät ulkoa. 
Turvallisuusluokiteltuja tietoja sisältävien säilytysyksiköiden numeroyhdistelmät on vaihdettava:
- tehdaskoodit on vaihdettava uuden turvallisen säilytyspaikan vastaanoton yhteydessä
- aina, kun numeroyhdistelmän tuntevassa henkilöstössä tapahtuu muutos.
- aina, kun tiedot ovat vaarantuneet tai kun niiden epäillään vaarantuneen.
- kun jokin lukoista on huollettu tai korjattu.
</v>
      </c>
      <c r="D68" s="51" t="s">
        <v>130</v>
      </c>
      <c r="E68" s="36"/>
      <c r="F68" s="38" t="str">
        <f>Kriteeristö!AN68</f>
        <v>Ei ehdoteta hankintaan</v>
      </c>
      <c r="G68" s="29"/>
      <c r="H68" s="29"/>
    </row>
    <row r="69" spans="1:8" ht="150">
      <c r="A69" s="53" t="str">
        <f>Kriteeristö!U69</f>
        <v>FYY-08, L:Salassa pidettävä, E:, S:, TS:Erityinen henkilötietoryhmä</v>
      </c>
      <c r="B69" s="38" t="str">
        <f>Kriteeristö!L69</f>
        <v>Tietojen kuljettaminen</v>
      </c>
      <c r="C69" s="36" t="str">
        <f>Kriteeristö!M69</f>
        <v xml:space="preserve">1. Tiedot tulee kuljettaa tietojen riittävän suojaamisen huomioivia, organisaation ohjeita noudattaen.  
2. Tiedot on pakattava niin, että ne on suojattu luvattomalta ilmitulolta. 
3. Tietoja saa kuljettaa turvallisuusalueiden ulkopuolelle suojaamalla sähköiset tietovälineet riittävän turvallisella salauksella.
4. Salaamattomia tietoja voidaan kuljettaa postipalvelujen välityksellä.
</v>
      </c>
      <c r="D69" s="51"/>
      <c r="E69" s="36" t="s">
        <v>131</v>
      </c>
      <c r="F69" s="38" t="str">
        <f>Kriteeristö!AN69</f>
        <v>Valinnainen</v>
      </c>
      <c r="G69" s="29"/>
      <c r="H69" s="29"/>
    </row>
    <row r="70" spans="1:8" ht="275.10000000000002">
      <c r="A70" s="53" t="str">
        <f>Kriteeristö!U70</f>
        <v>FYY-08.1, L:TL IV, E:, S:, TS:</v>
      </c>
      <c r="B70" s="38" t="str">
        <f>Kriteeristö!L70</f>
        <v>Tietojen kuljettaminen - TL IV</v>
      </c>
      <c r="C70" s="36" t="str">
        <f>Kriteeristö!M70</f>
        <v xml:space="preserve">Alikriteeri tarkentaa pääkriteerin vaatimusta.
</v>
      </c>
      <c r="D70" s="51" t="s">
        <v>132</v>
      </c>
      <c r="E70" s="36"/>
      <c r="F70" s="38" t="str">
        <f>Kriteeristö!AN70</f>
        <v>Ei ehdoteta hankintaan</v>
      </c>
      <c r="G70" s="29"/>
      <c r="H70" s="29"/>
    </row>
    <row r="71" spans="1:8" ht="275.10000000000002">
      <c r="A71" s="53" t="str">
        <f>Kriteeristö!U71</f>
        <v>FYY-08.2, L:TL III, E:, S:, TS:</v>
      </c>
      <c r="B71" s="38" t="str">
        <f>Kriteeristö!L71</f>
        <v>Tietojen kuljettaminen - TL III</v>
      </c>
      <c r="C71" s="36" t="str">
        <f>Kriteeristö!M71</f>
        <v xml:space="preserve">Turvallisuusluokan II-III salaamaton tieto on kuljettamista varten pakattava asianmukaisesti sekä kuljetettava se jatkuvan valvonnan alaisuudessa vastaanottajalle. Mainitun tiedon saa kuljettaa vastaanottajalle myös muulla turvallisella tavalla, jolla tiedon luottamuksellisuus ja eheys varmistetaan kyseiselle turvallisuusluokalle riittävällä tavalla.
</v>
      </c>
      <c r="D71" s="51" t="s">
        <v>133</v>
      </c>
      <c r="E71" s="36"/>
      <c r="F71" s="38" t="str">
        <f>Kriteeristö!AN71</f>
        <v>Ei ehdoteta hankintaan</v>
      </c>
      <c r="G71" s="29"/>
      <c r="H71" s="29"/>
    </row>
    <row r="72" spans="1:8" ht="212.45">
      <c r="A72" s="53" t="str">
        <f>Kriteeristö!U72</f>
        <v>FYY-08.3, L:TL II, E:, S:, TS:</v>
      </c>
      <c r="B72" s="38" t="str">
        <f>Kriteeristö!L72</f>
        <v>Tietojen kuljettaminen - TL II</v>
      </c>
      <c r="C72" s="36" t="str">
        <f>Kriteeristö!M72</f>
        <v xml:space="preserve">Alikriteeri tarkentaa pääkriteerin vaatimusta.
</v>
      </c>
      <c r="D72" s="51" t="s">
        <v>134</v>
      </c>
      <c r="E72" s="36"/>
      <c r="F72" s="38" t="str">
        <f>Kriteeristö!AN72</f>
        <v>Ei ehdoteta hankintaan</v>
      </c>
      <c r="G72" s="29"/>
      <c r="H72" s="29"/>
    </row>
    <row r="73" spans="1:8" ht="50.1">
      <c r="A73" s="53" t="str">
        <f>Kriteeristö!U73</f>
        <v>FYY-09, L:Salassa pidettävä, E:, S:, TS:Erityinen henkilötietoryhmä</v>
      </c>
      <c r="B73" s="38" t="str">
        <f>Kriteeristö!L73</f>
        <v>Tietojen kopioiminen</v>
      </c>
      <c r="C73" s="36" t="str">
        <f>Kriteeristö!M73</f>
        <v xml:space="preserve">Kopioihin ja käännöksiin sovelletaan alkuperäistä tietoa koskevia turvatoimia.
</v>
      </c>
      <c r="D73" s="51" t="s">
        <v>135</v>
      </c>
      <c r="E73" s="36" t="s">
        <v>136</v>
      </c>
      <c r="F73" s="38" t="str">
        <f>Kriteeristö!AN73</f>
        <v>Valinnainen</v>
      </c>
      <c r="G73" s="29"/>
      <c r="H73" s="29"/>
    </row>
    <row r="74" spans="1:8" ht="75">
      <c r="A74" s="53" t="str">
        <f>Kriteeristö!U74</f>
        <v>FYY-09.1, L:TL II, E:, S:, TS:</v>
      </c>
      <c r="B74" s="38" t="str">
        <f>Kriteeristö!L74</f>
        <v>Tietojen kopioiminen - TL II</v>
      </c>
      <c r="C74" s="36" t="str">
        <f>Kriteeristö!M74</f>
        <v xml:space="preserve">Tietojen kopiot ja niiden käsittelijät on luetteloitava.
Tietojen kopiointia varten on hankittava tiedon laatineen viranomaisen lupa.
</v>
      </c>
      <c r="D74" s="51" t="s">
        <v>137</v>
      </c>
      <c r="E74" s="36"/>
      <c r="F74" s="38" t="str">
        <f>Kriteeristö!AN74</f>
        <v>Ei ehdoteta hankintaan</v>
      </c>
      <c r="G74" s="29"/>
      <c r="H74" s="29"/>
    </row>
    <row r="75" spans="1:8" ht="150">
      <c r="A75" s="53" t="str">
        <f>Kriteeristö!U75</f>
        <v>FYY-10, L:TL III, E:, S:, TS:</v>
      </c>
      <c r="B75" s="38" t="str">
        <f>Kriteeristö!L75</f>
        <v>Tietojen kirjaaminen</v>
      </c>
      <c r="C75" s="36" t="str">
        <f>Kriteeristö!M75</f>
        <v xml:space="preserve">Turvallisuusluokan III tai sitä korkeamman luokan tiedon vastaanottaminen ja lähettäminen tulee kirjata.
Turvallisuusluokan III tietojen ja niitä korkeamman tason tietojen käsittely kirjataan sähköiseen lokiin, tietojärjestelmään, asianhallintajärjestelmään, asiarekisteriin tai tietoon (esimerkiksi dokumentin osaksi). 
</v>
      </c>
      <c r="D75" s="51" t="s">
        <v>138</v>
      </c>
      <c r="E75" s="36" t="s">
        <v>139</v>
      </c>
      <c r="F75" s="38" t="str">
        <f>Kriteeristö!AN75</f>
        <v>Ei ehdoteta hankintaan</v>
      </c>
      <c r="G75" s="29"/>
      <c r="H75" s="29"/>
    </row>
    <row r="76" spans="1:8" ht="249.95">
      <c r="A76" s="53" t="str">
        <f>Kriteeristö!U76</f>
        <v>FYY-11, L:Salassa pidettävä, E:, S:, TS:Erityinen henkilötietoryhmä</v>
      </c>
      <c r="B76" s="38" t="str">
        <f>Kriteeristö!L76</f>
        <v>Tietojen fyysinen tuhoaminen</v>
      </c>
      <c r="C76" s="36" t="str">
        <f>Kriteeristö!M76</f>
        <v xml:space="preserve">Ei-sähköisten tietojen tuhoaminen on järjestetty luotettavasti. Tuhoamisessa käytetään menetelmiä, joilla estetään tietojen kokoaminen uudelleen kokonaan tai osittain.
</v>
      </c>
      <c r="D76" s="51" t="s">
        <v>140</v>
      </c>
      <c r="E76" s="36" t="s">
        <v>141</v>
      </c>
      <c r="F76" s="38" t="str">
        <f>Kriteeristö!AN76</f>
        <v>Valinnainen</v>
      </c>
      <c r="G76" s="29"/>
      <c r="H76" s="29"/>
    </row>
    <row r="77" spans="1:8" ht="37.5">
      <c r="A77" s="53" t="str">
        <f>Kriteeristö!U77</f>
        <v>FYY-11.1, L:TL IV, E:, S:, TS:</v>
      </c>
      <c r="B77" s="38" t="str">
        <f>Kriteeristö!L77</f>
        <v>Tietojen fyysinen tuhoaminen - TL IV</v>
      </c>
      <c r="C77" s="36" t="str">
        <f>Kriteeristö!M77</f>
        <v xml:space="preserve">Alikriteeri tarkentaa pääkriteerin vaatimusta.
</v>
      </c>
      <c r="D77" s="51" t="s">
        <v>142</v>
      </c>
      <c r="E77" s="36"/>
      <c r="F77" s="38" t="str">
        <f>Kriteeristö!AN77</f>
        <v>Ei ehdoteta hankintaan</v>
      </c>
      <c r="G77" s="29"/>
      <c r="H77" s="29"/>
    </row>
    <row r="78" spans="1:8" ht="125.1">
      <c r="A78" s="53" t="str">
        <f>Kriteeristö!U78</f>
        <v>FYY-11.2, L:TL III, E:, S:, TS:</v>
      </c>
      <c r="B78" s="38" t="str">
        <f>Kriteeristö!L78</f>
        <v>Tietojen fyysinen tuhoaminen - TL III</v>
      </c>
      <c r="C78" s="36" t="str">
        <f>Kriteeristö!M78</f>
        <v xml:space="preserve">Alikriteeri tarkentaa pääkriteerin vaatimusta.
</v>
      </c>
      <c r="D78" s="51" t="s">
        <v>143</v>
      </c>
      <c r="E78" s="36"/>
      <c r="F78" s="38" t="str">
        <f>Kriteeristö!AN78</f>
        <v>Ei ehdoteta hankintaan</v>
      </c>
      <c r="G78" s="29"/>
      <c r="H78" s="29"/>
    </row>
    <row r="79" spans="1:8" ht="137.44999999999999">
      <c r="A79" s="53" t="str">
        <f>Kriteeristö!U79</f>
        <v>FYY-11.3, L:TL II, E:, S:, TS:</v>
      </c>
      <c r="B79" s="38" t="str">
        <f>Kriteeristö!L79</f>
        <v>Tietojen fyysinen tuhoaminen - TL II</v>
      </c>
      <c r="C79" s="36" t="str">
        <f>Kriteeristö!M79</f>
        <v xml:space="preserve">Jos tiedon on laatinut toinen viranomainen, tarpeettomaksi käyneen tiedon tuhoamisesta on ilmoitettava tiedon laatineelle viranomaiselle, jollei sitä palauteta tiedon laatineelle viranomaiselle. 
Tiedon tuhoamisen saa suorittaa vain henkilö, jonka viranomainen on tähän tehtävään määrännyt. Valmisteluvaiheen versiot voi tuhota ne laatinut henkilö.
</v>
      </c>
      <c r="D79" s="51" t="s">
        <v>144</v>
      </c>
      <c r="E79" s="36"/>
      <c r="F79" s="38" t="str">
        <f>Kriteeristö!AN79</f>
        <v>Ei ehdoteta hankintaan</v>
      </c>
      <c r="G79" s="29"/>
      <c r="H79" s="29"/>
    </row>
    <row r="80" spans="1:8" ht="125.1">
      <c r="A80" s="53" t="str">
        <f>Kriteeristö!U80</f>
        <v>TEK-01, L:Salassa pidettävä, E:, S:, TS:Erityinen henkilötietoryhmä</v>
      </c>
      <c r="B80" s="38" t="str">
        <f>Kriteeristö!L80</f>
        <v>Verkon rakenteellinen turvallisuus</v>
      </c>
      <c r="C80" s="36" t="str">
        <f>Kriteeristö!M80</f>
        <v xml:space="preserve">Tietojenkäsittely-ympäristö on erotettu julkisista tietoverkoista ja muista heikomman turvallisuustason ympäristöistä riittävän turvallisella tavalla.
</v>
      </c>
      <c r="D80" s="51" t="s">
        <v>145</v>
      </c>
      <c r="E80" s="36" t="s">
        <v>146</v>
      </c>
      <c r="F80" s="38" t="str">
        <f>Kriteeristö!AN80</f>
        <v>Valinnainen</v>
      </c>
      <c r="G80" s="29"/>
      <c r="H80" s="29"/>
    </row>
    <row r="81" spans="1:8" ht="125.1">
      <c r="A81" s="53" t="str">
        <f>Kriteeristö!U81</f>
        <v>TEK-01.1, L:Salassa pidettävä, E:Kriittinen, S:, TS:Henkilötieto</v>
      </c>
      <c r="B81" s="38" t="str">
        <f>Kriteeristö!L81</f>
        <v>Verkon rakenteellinen turvallisuus - salaus yleisissä tietoverkoissa</v>
      </c>
      <c r="C81" s="36" t="str">
        <f>Kriteeristö!M81</f>
        <v xml:space="preserve">Yleisessä tietoverkossa salassa pidettävää tietoa sisältävä tietoliikenne salataan salausratkaisulla, jossa ei ole tunnettuja haavoittuvuuksia ja jotka tukevat valmistajalta saatujen tietojen mukaan moderneja salausvahvuuksia ja -asetuksia tai vaihtoisesti siirto toteutetaan muuten suojattua tiedonsiirtoyhteyttä tai -tapaa käyttämällä.
</v>
      </c>
      <c r="D81" s="51"/>
      <c r="E81" s="36" t="s">
        <v>147</v>
      </c>
      <c r="F81" s="38" t="str">
        <f>Kriteeristö!AN81</f>
        <v>Valinnainen</v>
      </c>
      <c r="G81" s="29"/>
      <c r="H81" s="29"/>
    </row>
    <row r="82" spans="1:8" ht="75">
      <c r="A82" s="53" t="str">
        <f>Kriteeristö!U82</f>
        <v>TEK-01.2, L:Salassa pidettävä, E:Tärkeä, S:, TS:Erityinen henkilötietoryhmä</v>
      </c>
      <c r="B82" s="38" t="str">
        <f>Kriteeristö!L82</f>
        <v>Verkon rakenteellinen turvallisuus - palomuuri</v>
      </c>
      <c r="C82" s="36" t="str">
        <f>Kriteeristö!M82</f>
        <v xml:space="preserve">Tietojenkäsittely-ympäristön kytkeminen muiden turvallisuustasojen ympäristöihin edellyttää vähintään palomuuriratkaisun käyttöä.
</v>
      </c>
      <c r="D82" s="51"/>
      <c r="E82" s="36" t="s">
        <v>147</v>
      </c>
      <c r="F82" s="38" t="str">
        <f>Kriteeristö!AN82</f>
        <v>Valinnainen</v>
      </c>
      <c r="G82" s="29"/>
      <c r="H82" s="29"/>
    </row>
    <row r="83" spans="1:8" ht="99.95">
      <c r="A83" s="53" t="str">
        <f>Kriteeristö!U83</f>
        <v>TEK-01.3, L:TL IV, E:, S:, TS:</v>
      </c>
      <c r="B83" s="38" t="str">
        <f>Kriteeristö!L83</f>
        <v>Verkon rakenteellinen turvallisuus - käsittely-ympäristöjen erottaminen</v>
      </c>
      <c r="C83" s="36" t="str">
        <f>Kriteeristö!M83</f>
        <v xml:space="preserve">Tietojenkäsittely-ympäristö on erotettu muista ympäristöistä.
</v>
      </c>
      <c r="D83" s="51"/>
      <c r="E83" s="36" t="s">
        <v>148</v>
      </c>
      <c r="F83" s="38" t="str">
        <f>Kriteeristö!AN83</f>
        <v>Ei ehdoteta hankintaan</v>
      </c>
      <c r="G83" s="29"/>
      <c r="H83" s="29"/>
    </row>
    <row r="84" spans="1:8" ht="75">
      <c r="A84" s="53" t="str">
        <f>Kriteeristö!U84</f>
        <v>TEK-01.4, L:TL IV, E:, S:, TS:</v>
      </c>
      <c r="B84" s="38" t="str">
        <f>Kriteeristö!L84</f>
        <v>Verkon rakenteellinen turvallisuus - salaaminen turva-alueiden ulkopuolella</v>
      </c>
      <c r="C84" s="36" t="str">
        <f>Kriteeristö!M84</f>
        <v xml:space="preserve">Hallitun fyysisen turvallisuusalueen ulkopuolelle menevä liikenne salataan riittävän turvallisella salausratkaisulla.
</v>
      </c>
      <c r="D84" s="51"/>
      <c r="E84" s="36" t="s">
        <v>149</v>
      </c>
      <c r="F84" s="38" t="str">
        <f>Kriteeristö!AN84</f>
        <v>Ei ehdoteta hankintaan</v>
      </c>
      <c r="G84" s="29"/>
      <c r="H84" s="29"/>
    </row>
    <row r="85" spans="1:8" ht="75">
      <c r="A85" s="53" t="str">
        <f>Kriteeristö!U85</f>
        <v>TEK-01.5, L:TL III, E:, S:, TS:</v>
      </c>
      <c r="B85" s="38" t="str">
        <f>Kriteeristö!L85</f>
        <v>Verkon rakenteellinen turvallisuus - yhdyskäytäväratkaisun käyttö</v>
      </c>
      <c r="C85" s="36" t="str">
        <f>Kriteeristö!M85</f>
        <v xml:space="preserve">Turvallisuusluokat III-II:
Tietojenkäsittely-ympäristön kytkeminen muiden turvallisuusluokkien ympäristöihin edellyttää riittävän turvallisen yhdyskäytäväratkaisun käyttöä.
</v>
      </c>
      <c r="D85" s="51"/>
      <c r="E85" s="36" t="s">
        <v>147</v>
      </c>
      <c r="F85" s="38" t="str">
        <f>Kriteeristö!AN85</f>
        <v>Ei ehdoteta hankintaan</v>
      </c>
      <c r="G85" s="29"/>
      <c r="H85" s="29"/>
    </row>
    <row r="86" spans="1:8" ht="50.1">
      <c r="A86" s="53" t="str">
        <f>Kriteeristö!U86</f>
        <v>TEK-01.6, L:TL II, E:, S:, TS:</v>
      </c>
      <c r="B86" s="38" t="str">
        <f>Kriteeristö!L86</f>
        <v>Verkon rakenteellinen turvallisuus - TL II käsittely</v>
      </c>
      <c r="C86" s="36" t="str">
        <f>Kriteeristö!M86</f>
        <v xml:space="preserve">Turvallisuusluokan II käsittely-ympäristöt ovat lähtökohtaisesti fyysisesti eristettyjä kokonaisuuksia.
</v>
      </c>
      <c r="D86" s="51"/>
      <c r="E86" s="36" t="s">
        <v>147</v>
      </c>
      <c r="F86" s="38" t="str">
        <f>Kriteeristö!AN86</f>
        <v>Ei ehdoteta hankintaan</v>
      </c>
      <c r="G86" s="29"/>
      <c r="H86" s="29"/>
    </row>
    <row r="87" spans="1:8" ht="50.1">
      <c r="A87" s="53" t="str">
        <f>Kriteeristö!U87</f>
        <v>TEK-01.7, L:TL I, E:, S:, TS:</v>
      </c>
      <c r="B87" s="38" t="str">
        <f>Kriteeristö!L87</f>
        <v>Verkon rakenteellinen turvallisuus - TL I käsittely</v>
      </c>
      <c r="C87" s="36" t="str">
        <f>Kriteeristö!M87</f>
        <v xml:space="preserve">Alikriteeri tarkentaa pääkriteerin vaatimusta.
</v>
      </c>
      <c r="D87" s="51"/>
      <c r="E87" s="36" t="s">
        <v>150</v>
      </c>
      <c r="F87" s="38" t="str">
        <f>Kriteeristö!AN87</f>
        <v>Ei ehdoteta hankintaan</v>
      </c>
      <c r="G87" s="29"/>
      <c r="H87" s="29"/>
    </row>
    <row r="88" spans="1:8" ht="75">
      <c r="A88" s="53" t="str">
        <f>Kriteeristö!U88</f>
        <v>TEK-02, L:Salassa pidettävä, E:Tärkeä, S:Tärkeä, TS:Erityinen henkilötietoryhmä</v>
      </c>
      <c r="B88" s="38" t="str">
        <f>Kriteeristö!L88</f>
        <v>Tietoliikenne-verkon vyöhykkeistäminen</v>
      </c>
      <c r="C88" s="36" t="str">
        <f>Kriteeristö!M88</f>
        <v xml:space="preserve">Tietoliikenneverkon vyöhykkeistäminen ja suodatussäännöstöt on toteutettava monitasoisen suojaamisen periaatteen mukaisesti.
</v>
      </c>
      <c r="D88" s="51"/>
      <c r="E88" s="36" t="s">
        <v>147</v>
      </c>
      <c r="F88" s="38" t="str">
        <f>Kriteeristö!AN88</f>
        <v>Valinnainen</v>
      </c>
      <c r="G88" s="29"/>
      <c r="H88" s="29"/>
    </row>
    <row r="89" spans="1:8" ht="62.45">
      <c r="A89" s="53" t="str">
        <f>Kriteeristö!U89</f>
        <v>TEK-02.1, L:TL IV, E:, S:, TS:</v>
      </c>
      <c r="B89" s="38" t="str">
        <f>Kriteeristö!L89</f>
        <v>Tietoliikenne-verkon vyöhykkeistäminen - vähimpien oikeuksien periaate</v>
      </c>
      <c r="C89" s="36" t="str">
        <f>Kriteeristö!M89</f>
        <v xml:space="preserve">Tietoliikenneverkon vyöhykkeistäminen ja suodatussäännöstöt on toteutettava vähimpien oikeuksien periaatteen mukaisesti ko. turvaluokan sisällä.
</v>
      </c>
      <c r="D89" s="51"/>
      <c r="E89" s="36" t="s">
        <v>147</v>
      </c>
      <c r="F89" s="38" t="str">
        <f>Kriteeristö!AN89</f>
        <v>Ei ehdoteta hankintaan</v>
      </c>
      <c r="G89" s="29"/>
      <c r="H89" s="29"/>
    </row>
    <row r="90" spans="1:8" ht="75">
      <c r="A90" s="53" t="str">
        <f>Kriteeristö!U90</f>
        <v>TEK-03, L:Salassa pidettävä, E:Tärkeä, S:Tärkeä, TS:Erityinen henkilötietoryhmä</v>
      </c>
      <c r="B90" s="38" t="str">
        <f>Kriteeristö!L90</f>
        <v>Suodatus- ja valvontajärjestelmien hallinnointi</v>
      </c>
      <c r="C90" s="36" t="str">
        <f>Kriteeristö!M90</f>
        <v xml:space="preserve">Suodatus- ja valvontajärjestelmien tarkoituksenmukaisesta toiminnasta huolehditaan koko tietojenkäsittely-ympäristön elinkaaren ajan.
</v>
      </c>
      <c r="D90" s="51"/>
      <c r="E90" s="36" t="s">
        <v>151</v>
      </c>
      <c r="F90" s="38" t="str">
        <f>Kriteeristö!AN90</f>
        <v>Valinnainen</v>
      </c>
      <c r="G90" s="29"/>
      <c r="H90" s="29"/>
    </row>
    <row r="91" spans="1:8" ht="87.6">
      <c r="A91" s="53" t="str">
        <f>Kriteeristö!U91</f>
        <v>TEK-03.1, L:Salassa pidettävä, E:Tärkeä, S:Tärkeä, TS:Erityinen henkilötietoryhmä</v>
      </c>
      <c r="B91" s="38" t="str">
        <f>Kriteeristö!L91</f>
        <v>Suodatus- ja valvontajärjestelmien hallinnointi - vastuutus ja organisointi</v>
      </c>
      <c r="C91" s="36" t="str">
        <f>Kriteeristö!M91</f>
        <v xml:space="preserve">Liikennettä suodattavien tai valvovien järjestelmien asetusten lisääminen, muuttaminen, poistaminen ja valvonta on vastuutettu ja organisoitu.
</v>
      </c>
      <c r="D91" s="51"/>
      <c r="E91" s="36" t="s">
        <v>147</v>
      </c>
      <c r="F91" s="38" t="str">
        <f>Kriteeristö!AN91</f>
        <v>Valinnainen</v>
      </c>
      <c r="G91" s="29"/>
      <c r="H91" s="29"/>
    </row>
    <row r="92" spans="1:8" ht="87.6">
      <c r="A92" s="53" t="str">
        <f>Kriteeristö!U92</f>
        <v>TEK-03.2, L:Salassa pidettävä, E:Tärkeä, S:Tärkeä, TS:Erityinen henkilötietoryhmä</v>
      </c>
      <c r="B92" s="38" t="str">
        <f>Kriteeristö!L92</f>
        <v>Suodatus- ja valvontajärjestelmien hallinnointi - dokumentointi</v>
      </c>
      <c r="C92" s="36" t="str">
        <f>Kriteeristö!M92</f>
        <v xml:space="preserve">Verkon ja siihen liittyvien suodatus- ja valvontajärjestelmien dokumentaatiota ylläpidetään sen elinkaaren aikana erottamattomana osana muutosten ja asetusten hallintaprosessia.
</v>
      </c>
      <c r="D92" s="51"/>
      <c r="E92" s="36" t="s">
        <v>147</v>
      </c>
      <c r="F92" s="38" t="str">
        <f>Kriteeristö!AN92</f>
        <v>Valinnainen</v>
      </c>
      <c r="G92" s="29"/>
      <c r="H92" s="29"/>
    </row>
    <row r="93" spans="1:8" ht="87.6">
      <c r="A93" s="53" t="str">
        <f>Kriteeristö!U93</f>
        <v>TEK-03.3, L:Salassa pidettävä, E:Tärkeä, S:Tärkeä, TS:Erityinen henkilötietoryhmä</v>
      </c>
      <c r="B93" s="38" t="str">
        <f>Kriteeristö!L93</f>
        <v>Suodatus- ja valvontajärjestelmien hallinnointi - tarkastukset</v>
      </c>
      <c r="C93" s="36" t="str">
        <f>Kriteeristö!M93</f>
        <v xml:space="preserve">Liikennettä suodattavien tai valvovien järjestelmien asetukset ja haluttu toiminta tarkastetaan määräajoin tietojenkäsittely-ympäristön toiminnan ja huollon aikana sekä poikkeuksellisten tilanteiden ilmetessä.
</v>
      </c>
      <c r="D93" s="51"/>
      <c r="E93" s="36" t="s">
        <v>147</v>
      </c>
      <c r="F93" s="38" t="str">
        <f>Kriteeristö!AN93</f>
        <v>Valinnainen</v>
      </c>
      <c r="G93" s="29"/>
      <c r="H93" s="29"/>
    </row>
    <row r="94" spans="1:8" ht="125.1">
      <c r="A94" s="53" t="str">
        <f>Kriteeristö!U94</f>
        <v>TEK-04, L:Julkinen, E:Vähäinen, S:Vähäinen, TS:Henkilötieto</v>
      </c>
      <c r="B94" s="38" t="str">
        <f>Kriteeristö!L94</f>
        <v>Hallintayhteydet</v>
      </c>
      <c r="C94" s="36" t="str">
        <f>Kriteeristö!M94</f>
        <v xml:space="preserve">Hallintapääsy tapahtuu rajattujen, hallittujen ja valvottujen pisteiden kautta.
</v>
      </c>
      <c r="D94" s="51" t="s">
        <v>152</v>
      </c>
      <c r="E94" s="36" t="s">
        <v>153</v>
      </c>
      <c r="F94" s="38" t="str">
        <f>Kriteeristö!AN94</f>
        <v>Olennainen</v>
      </c>
      <c r="G94" s="29"/>
      <c r="H94" s="29"/>
    </row>
    <row r="95" spans="1:8" ht="75">
      <c r="A95" s="53" t="str">
        <f>Kriteeristö!U95</f>
        <v>TEK-04.1, L:Julkinen, E:Vähäinen, S:Vähäinen, TS:Henkilötieto</v>
      </c>
      <c r="B95" s="38" t="str">
        <f>Kriteeristö!L95</f>
        <v>Hallintayhteydet - vahva tunnistaminen julkisessa verkossa</v>
      </c>
      <c r="C95" s="36" t="str">
        <f>Kriteeristö!M95</f>
        <v xml:space="preserve">Hallintapääsyn julkisesta verkosta tai muun käytettävän etähallintaratkaisun tulee edellyttää vahvaa, vähintään kahteen todennustekijään pohjautuvaa käyttäjätunnistusta.
</v>
      </c>
      <c r="D95" s="51"/>
      <c r="E95" s="36" t="s">
        <v>147</v>
      </c>
      <c r="F95" s="38" t="str">
        <f>Kriteeristö!AN95</f>
        <v>Olennainen</v>
      </c>
      <c r="G95" s="29"/>
      <c r="H95" s="29"/>
    </row>
    <row r="96" spans="1:8" ht="75">
      <c r="A96" s="53" t="str">
        <f>Kriteeristö!U96</f>
        <v>TEK-04.2, L:Julkinen, E:Vähäinen, S:Vähäinen, TS:Henkilötieto</v>
      </c>
      <c r="B96" s="38" t="str">
        <f>Kriteeristö!L96</f>
        <v>Hallintayhteydet - hallintayhteyksen salaaminen</v>
      </c>
      <c r="C96" s="36" t="str">
        <f>Kriteeristö!M96</f>
        <v xml:space="preserve">Hallintaliikenne julkisessa verkossa on salattua käyttötilanteeseen soveltuvalla menetelmällä, suosien oikeellisen toiminnan osalta varmistettuja (validoituja) ja standardoituja salausratkaisuja/-protokollia.
</v>
      </c>
      <c r="D96" s="51"/>
      <c r="E96" s="36" t="s">
        <v>147</v>
      </c>
      <c r="F96" s="38" t="str">
        <f>Kriteeristö!AN96</f>
        <v>Olennainen</v>
      </c>
      <c r="G96" s="29"/>
      <c r="H96" s="29"/>
    </row>
    <row r="97" spans="1:8" ht="62.45">
      <c r="A97" s="53" t="str">
        <f>Kriteeristö!U97</f>
        <v>TEK-04.3, L:Julkinen, E:Vähäinen, S:Vähäinen, TS:Henkilötieto</v>
      </c>
      <c r="B97" s="38" t="str">
        <f>Kriteeristö!L97</f>
        <v>Hallintayhteydet - vähimmät oikeudet</v>
      </c>
      <c r="C97" s="36" t="str">
        <f>Kriteeristö!M97</f>
        <v xml:space="preserve">Hallintayhteydet on rajattu vähimpien oikeuksien periaatteen mukaisesti.
</v>
      </c>
      <c r="D97" s="51"/>
      <c r="E97" s="36" t="s">
        <v>147</v>
      </c>
      <c r="F97" s="38" t="str">
        <f>Kriteeristö!AN97</f>
        <v>Olennainen</v>
      </c>
      <c r="G97" s="29"/>
      <c r="H97" s="29"/>
    </row>
    <row r="98" spans="1:8" ht="62.45">
      <c r="A98" s="53" t="str">
        <f>Kriteeristö!U98</f>
        <v>TEK-04.4, L:Julkinen, E:Vähäinen, S:Vähäinen, TS:Henkilötieto</v>
      </c>
      <c r="B98" s="38" t="str">
        <f>Kriteeristö!L98</f>
        <v>Hallintayhteydet - henkilökohtaiset tunnukset</v>
      </c>
      <c r="C98" s="36" t="str">
        <f>Kriteeristö!M98</f>
        <v xml:space="preserve">Järjestelmien ja sovellusten ylläpitotunnukset ovat henkilökohtaisia.
</v>
      </c>
      <c r="D98" s="51" t="s">
        <v>154</v>
      </c>
      <c r="E98" s="36"/>
      <c r="F98" s="38" t="str">
        <f>Kriteeristö!AN98</f>
        <v>Olennainen</v>
      </c>
      <c r="G98" s="29"/>
      <c r="H98" s="29"/>
    </row>
    <row r="99" spans="1:8" ht="62.45">
      <c r="A99" s="53" t="str">
        <f>Kriteeristö!U99</f>
        <v>TEK-04.5, L:TL IV, E:, S:, TS:</v>
      </c>
      <c r="B99" s="38" t="str">
        <f>Kriteeristö!L99</f>
        <v>Hallintayhteydet - yhteyksien rajaaminen turvallisuusluokittain</v>
      </c>
      <c r="C99" s="36" t="str">
        <f>Kriteeristö!M99</f>
        <v xml:space="preserve">Hallintayhteydet on rajattu turvallisuusluokittain, ellei käytössä ole turvallisuusluokka huomioon ottaen riittävän turvallista yhdyskäytäväratkaisua.
</v>
      </c>
      <c r="D99" s="51"/>
      <c r="E99" s="36" t="s">
        <v>147</v>
      </c>
      <c r="F99" s="38" t="str">
        <f>Kriteeristö!AN99</f>
        <v>Ei ehdoteta hankintaan</v>
      </c>
      <c r="G99" s="29"/>
      <c r="H99" s="29"/>
    </row>
    <row r="100" spans="1:8" ht="87.6">
      <c r="A100" s="53" t="str">
        <f>Kriteeristö!U100</f>
        <v>TEK-04.6, L:TL IV, E:, S:, TS:</v>
      </c>
      <c r="B100" s="38" t="str">
        <f>Kriteeristö!L100</f>
        <v>Hallintayhteydet - turvallisuusluokiteltua tietoa sisältävät hallintayhteydet</v>
      </c>
      <c r="C100" s="36" t="str">
        <f>Kriteeristö!M100</f>
        <v xml:space="preserve">Hallintaliikenteen sisältäessä turvallisuusluokiteltua tietoa ja kulkiessa matalamman turvallisuusluokan ympäristön kautta, turvallisuusluokitellut tiedot on salattu riittävän turvallisella salaustuotteella.
</v>
      </c>
      <c r="D100" s="51"/>
      <c r="E100" s="36" t="s">
        <v>147</v>
      </c>
      <c r="F100" s="38" t="str">
        <f>Kriteeristö!AN100</f>
        <v>Ei ehdoteta hankintaan</v>
      </c>
      <c r="G100" s="29"/>
      <c r="H100" s="29"/>
    </row>
    <row r="101" spans="1:8" ht="75">
      <c r="A101" s="53" t="str">
        <f>Kriteeristö!U101</f>
        <v>TEK-04.7, L:TL IV, E:, S:, TS:</v>
      </c>
      <c r="B101" s="38" t="str">
        <f>Kriteeristö!L101</f>
        <v>Hallintayhteydet - salaaminen turvallisuusluokan sisällä</v>
      </c>
      <c r="C101" s="36" t="str">
        <f>Kriteeristö!M101</f>
        <v xml:space="preserve">Hallintaliikenteen kulkiessa ko. turvallisuusluokan sisällä, alemman tason salausta tai salaamatonta siirtoa voidaan käyttää riskinhallintaprosessin tulosten perusteella.
</v>
      </c>
      <c r="D101" s="51"/>
      <c r="E101" s="36" t="s">
        <v>147</v>
      </c>
      <c r="F101" s="38" t="str">
        <f>Kriteeristö!AN101</f>
        <v>Ei ehdoteta hankintaan</v>
      </c>
      <c r="G101" s="29"/>
      <c r="H101" s="29"/>
    </row>
    <row r="102" spans="1:8" ht="50.1">
      <c r="A102" s="53" t="str">
        <f>Kriteeristö!U102</f>
        <v>TEK-04.8, L:TL III, E:, S:, TS:</v>
      </c>
      <c r="B102" s="38" t="str">
        <f>Kriteeristö!L102</f>
        <v>Hallintayhteydet - TL III</v>
      </c>
      <c r="C102" s="36" t="str">
        <f>Kriteeristö!M102</f>
        <v xml:space="preserve">Turvallisuusluokan III käsittely-ympäristöjen etähallinta tulee suorittaa turva-alueelta
</v>
      </c>
      <c r="D102" s="51" t="s">
        <v>155</v>
      </c>
      <c r="E102" s="36" t="s">
        <v>156</v>
      </c>
      <c r="F102" s="38" t="str">
        <f>Kriteeristö!AN102</f>
        <v>Ei ehdoteta hankintaan</v>
      </c>
      <c r="G102" s="29"/>
      <c r="H102" s="29"/>
    </row>
    <row r="103" spans="1:8" ht="75">
      <c r="A103" s="53" t="str">
        <f>Kriteeristö!U103</f>
        <v>TEK-05, L:Salassa pidettävä, E:, S:, TS:Henkilötieto</v>
      </c>
      <c r="B103" s="38" t="str">
        <f>Kriteeristö!L103</f>
        <v>Langaton tiedonsiirto</v>
      </c>
      <c r="C103" s="36" t="str">
        <f>Kriteeristö!M103</f>
        <v xml:space="preserve">Langattomassa tiedonsiirrossa tietoliikenne salataan salausratkaisulla, jossa ei ole tunnettuja haavoittuvuuksia ja jotka tukevat valmistajalta saatujen tietojen mukaan moderneja salausvahvuuksia ja -asetuksia.
</v>
      </c>
      <c r="D103" s="51"/>
      <c r="E103" s="36" t="s">
        <v>147</v>
      </c>
      <c r="F103" s="38" t="str">
        <f>Kriteeristö!AN103</f>
        <v>Valinnainen</v>
      </c>
      <c r="G103" s="29"/>
      <c r="H103" s="29"/>
    </row>
    <row r="104" spans="1:8" ht="50.1">
      <c r="A104" s="53" t="str">
        <f>Kriteeristö!U104</f>
        <v>TEK-05.1, L:TL IV, E:, S:, TS:</v>
      </c>
      <c r="B104" s="38" t="str">
        <f>Kriteeristö!L104</f>
        <v>Langaton tiedonsiirto - salaaminen</v>
      </c>
      <c r="C104" s="36" t="str">
        <f>Kriteeristö!M104</f>
        <v xml:space="preserve">Langattomassa tiedonsiirrossa tietoliikenne salataan kyseiselle turvaluokalle riittävän turvallisella salausratkaisulla.
</v>
      </c>
      <c r="D104" s="51"/>
      <c r="E104" s="36" t="s">
        <v>147</v>
      </c>
      <c r="F104" s="38" t="str">
        <f>Kriteeristö!AN104</f>
        <v>Ei ehdoteta hankintaan</v>
      </c>
      <c r="G104" s="29"/>
      <c r="H104" s="29"/>
    </row>
    <row r="105" spans="1:8" ht="249.95">
      <c r="A105" s="53" t="str">
        <f>Kriteeristö!U105</f>
        <v>TEK-06, L:Salassa pidettävä, E:, S:, TS:Henkilötieto</v>
      </c>
      <c r="B105" s="38" t="str">
        <f>Kriteeristö!L105</f>
        <v>Kasautumisvaikutus</v>
      </c>
      <c r="C105" s="36" t="str">
        <f>Kriteeristö!M105</f>
        <v xml:space="preserve">Kasautumisvaikutus on huomioitu tietojenkäsittely-ympäristön suojaamisessa.
</v>
      </c>
      <c r="D105" s="51" t="s">
        <v>157</v>
      </c>
      <c r="E105" s="55" t="s">
        <v>158</v>
      </c>
      <c r="F105" s="38" t="str">
        <f>Kriteeristö!AN105</f>
        <v>Valinnainen</v>
      </c>
      <c r="G105" s="29"/>
      <c r="H105" s="29"/>
    </row>
    <row r="106" spans="1:8" ht="50.1">
      <c r="A106" s="53" t="str">
        <f>Kriteeristö!U106</f>
        <v>TEK-07, L:Julkinen, E:Vähäinen, S:Vähäinen, TS:Henkilötieto</v>
      </c>
      <c r="B106" s="38" t="str">
        <f>Kriteeristö!L106</f>
        <v>Pääsyoikeuksien hallinnointi</v>
      </c>
      <c r="C106" s="36" t="str">
        <f>Kriteeristö!M106</f>
        <v xml:space="preserve">Tietojärjestelmien käyttöoikeudet on määritelty.
</v>
      </c>
      <c r="D106" s="51"/>
      <c r="E106" s="36" t="s">
        <v>147</v>
      </c>
      <c r="F106" s="38" t="str">
        <f>Kriteeristö!AN106</f>
        <v>Olennainen</v>
      </c>
      <c r="G106" s="29"/>
      <c r="H106" s="29"/>
    </row>
    <row r="107" spans="1:8" ht="62.45">
      <c r="A107" s="53" t="str">
        <f>Kriteeristö!U107</f>
        <v>TEK-07.1, L:Julkinen, E:Vähäinen, S:Vähäinen, TS:Henkilötieto</v>
      </c>
      <c r="B107" s="38" t="str">
        <f>Kriteeristö!L107</f>
        <v>Pääsyoikeuksien hallinnointi - pääsyoikeuksien myöntäminen</v>
      </c>
      <c r="C107" s="36" t="str">
        <f>Kriteeristö!M107</f>
        <v xml:space="preserve">Tietojärjestelmien käyttöoikeudet voidaan myöntää vain henkilöille, joiden käyttötarpeesta on varmistuttu. 
</v>
      </c>
      <c r="D107" s="51"/>
      <c r="E107" s="36" t="s">
        <v>159</v>
      </c>
      <c r="F107" s="38" t="str">
        <f>Kriteeristö!AN107</f>
        <v>Olennainen</v>
      </c>
      <c r="G107" s="29"/>
      <c r="H107" s="29"/>
    </row>
    <row r="108" spans="1:8" ht="75">
      <c r="A108" s="53" t="str">
        <f>Kriteeristö!U108</f>
        <v>TEK-07.2, L:Julkinen, E:Vähäinen, S:Vähäinen, TS:Henkilötieto</v>
      </c>
      <c r="B108" s="38" t="str">
        <f>Kriteeristö!L108</f>
        <v>Pääsyoikeuksien hallinnointi - pääsyoikeuksien rajaaminen</v>
      </c>
      <c r="C108" s="36" t="str">
        <f>Kriteeristö!M108</f>
        <v xml:space="preserve">Tietojenkäsittely-ympäristön käyttäjille ja automaattisille prosesseille annetaan vain ne tiedot, oikeudet tai valtuutukset, jotka ovat niiden tehtävien suorittamiseksi välttämättömiä.
</v>
      </c>
      <c r="D108" s="51"/>
      <c r="E108" s="36" t="s">
        <v>147</v>
      </c>
      <c r="F108" s="38" t="str">
        <f>Kriteeristö!AN108</f>
        <v>Olennainen</v>
      </c>
      <c r="G108" s="29"/>
      <c r="H108" s="29"/>
    </row>
    <row r="109" spans="1:8" ht="62.45">
      <c r="A109" s="53" t="str">
        <f>Kriteeristö!U109</f>
        <v>TEK-07.3, L:Julkinen, E:Vähäinen, S:Vähäinen, TS:Henkilötieto</v>
      </c>
      <c r="B109" s="38" t="str">
        <f>Kriteeristö!L109</f>
        <v>Pääsyoikeuksien hallinnointi - pääsyoikeuksien ajantasaisuus</v>
      </c>
      <c r="C109" s="36" t="str">
        <f>Kriteeristö!M109</f>
        <v xml:space="preserve">Käyttöoikeudet on pidettävä ajantasaisina.
</v>
      </c>
      <c r="D109" s="51"/>
      <c r="E109" s="36" t="s">
        <v>147</v>
      </c>
      <c r="F109" s="38" t="str">
        <f>Kriteeristö!AN109</f>
        <v>Olennainen</v>
      </c>
      <c r="G109" s="29"/>
      <c r="H109" s="29"/>
    </row>
    <row r="110" spans="1:8" ht="50.1">
      <c r="A110" s="53" t="str">
        <f>Kriteeristö!U110</f>
        <v>TEK-07.4, L:TL IV, E:, S:, TS:</v>
      </c>
      <c r="B110" s="38" t="str">
        <f>Kriteeristö!L110</f>
        <v>Pääsyoikeuksien hallinnointi - turvallisuusluokiteltujen tietojen erottelu</v>
      </c>
      <c r="C110" s="36" t="str">
        <f>Kriteeristö!M110</f>
        <v xml:space="preserve">Alikriteeri tarkentaa pääkriteerin vaatimusta.
</v>
      </c>
      <c r="D110" s="51" t="s">
        <v>160</v>
      </c>
      <c r="E110" s="36" t="s">
        <v>161</v>
      </c>
      <c r="F110" s="38" t="str">
        <f>Kriteeristö!AN110</f>
        <v>Ei ehdoteta hankintaan</v>
      </c>
      <c r="G110" s="29"/>
      <c r="H110" s="29"/>
    </row>
    <row r="111" spans="1:8" ht="37.5">
      <c r="A111" s="53" t="str">
        <f>Kriteeristö!U111</f>
        <v>TEK-07.5, L:TL III, E:, S:, TS:</v>
      </c>
      <c r="B111" s="38" t="str">
        <f>Kriteeristö!L111</f>
        <v>Pääsyoikeuksien hallinnointi - TL III</v>
      </c>
      <c r="C111" s="36" t="str">
        <f>Kriteeristö!M111</f>
        <v xml:space="preserve">Alikriteeri tarkentaa pääkriteerin vaatimusta.
</v>
      </c>
      <c r="D111" s="51" t="s">
        <v>162</v>
      </c>
      <c r="E111" s="36" t="s">
        <v>161</v>
      </c>
      <c r="F111" s="38" t="str">
        <f>Kriteeristö!AN111</f>
        <v>Ei ehdoteta hankintaan</v>
      </c>
      <c r="G111" s="29"/>
      <c r="H111" s="29"/>
    </row>
    <row r="112" spans="1:8" ht="50.1">
      <c r="A112" s="53" t="str">
        <f>Kriteeristö!U112</f>
        <v>TEK-08, L:Salassa pidettävä, E:Normaali, S:, TS:Henkilötieto</v>
      </c>
      <c r="B112" s="38" t="str">
        <f>Kriteeristö!L112</f>
        <v>Tietojenkäsittely-ympäristön toimijoiden tunnistaminen</v>
      </c>
      <c r="C112" s="36" t="str">
        <f>Kriteeristö!M112</f>
        <v>Tietojenkäsittely-ympäristöä käyttävät henkilöt, laitteet ja tietojärjestelmät tunnistetaan riittävän luotettavasti.</v>
      </c>
      <c r="D112" s="51"/>
      <c r="E112" s="36" t="s">
        <v>163</v>
      </c>
      <c r="F112" s="38" t="str">
        <f>Kriteeristö!AN112</f>
        <v>Valinnainen</v>
      </c>
      <c r="G112" s="29"/>
      <c r="H112" s="29"/>
    </row>
    <row r="113" spans="1:8" ht="62.45">
      <c r="A113" s="53" t="str">
        <f>Kriteeristö!U113</f>
        <v>TEK-08.1, L:Salassa pidettävä, E:Normaali, S:, TS:Henkilötieto</v>
      </c>
      <c r="B113" s="38" t="str">
        <f>Kriteeristö!L113</f>
        <v>Tietojenkäsittely-ympäristön toimijoiden tunnistaminen</v>
      </c>
      <c r="C113" s="36" t="str">
        <f>Kriteeristö!M113</f>
        <v xml:space="preserve">Kaikki käyttäjät tunnistetaan ja todennetaan yksilöllisillä henkilökohtaisilla käyttäjätunnisteilla.
</v>
      </c>
      <c r="D113" s="51"/>
      <c r="E113" s="36" t="s">
        <v>147</v>
      </c>
      <c r="F113" s="38" t="str">
        <f>Kriteeristö!AN113</f>
        <v>Valinnainen</v>
      </c>
      <c r="G113" s="29"/>
      <c r="H113" s="29"/>
    </row>
    <row r="114" spans="1:8" ht="62.45">
      <c r="A114" s="53" t="str">
        <f>Kriteeristö!U114</f>
        <v>TEK-08.2, L:Salassa pidettävä, E:Normaali, S:, TS:Henkilötieto</v>
      </c>
      <c r="B114" s="38" t="str">
        <f>Kriteeristö!L114</f>
        <v>Tietojenkäsittely-ympäristön toimijoiden tunnistaminen</v>
      </c>
      <c r="C114" s="36" t="str">
        <f>Kriteeristö!M114</f>
        <v xml:space="preserve">Tunnistamisessa ja todennuksessa käytetään tunnettua ja turvallisena pidettyä tekniikkaa tai se on muuten järjestettävä luotettavasti.
</v>
      </c>
      <c r="D114" s="51"/>
      <c r="E114" s="36" t="s">
        <v>147</v>
      </c>
      <c r="F114" s="38" t="str">
        <f>Kriteeristö!AN114</f>
        <v>Valinnainen</v>
      </c>
      <c r="G114" s="29"/>
      <c r="H114" s="29"/>
    </row>
    <row r="115" spans="1:8" ht="62.45">
      <c r="A115" s="53" t="str">
        <f>Kriteeristö!U115</f>
        <v>TEK-08.3, L:Salassa pidettävä, E:Normaali, S:, TS:Henkilötieto</v>
      </c>
      <c r="B115" s="38" t="str">
        <f>Kriteeristö!L115</f>
        <v>Tietojenkäsittely-ympäristön toimijoiden tunnistaminen</v>
      </c>
      <c r="C115" s="36" t="str">
        <f>Kriteeristö!M115</f>
        <v xml:space="preserve">Käyttäjätunnukset lukittuvat tilanteissa, joissa tunnistus epäonnistuu liian monta kertaa peräkkäin.
</v>
      </c>
      <c r="D115" s="51"/>
      <c r="E115" s="36" t="s">
        <v>164</v>
      </c>
      <c r="F115" s="38" t="str">
        <f>Kriteeristö!AN115</f>
        <v>Valinnainen</v>
      </c>
      <c r="G115" s="29"/>
      <c r="H115" s="29"/>
    </row>
    <row r="116" spans="1:8" ht="62.45">
      <c r="A116" s="53" t="str">
        <f>Kriteeristö!U116</f>
        <v>TEK-08.4, L:TL IV, E:Kriittinen, S:, TS:</v>
      </c>
      <c r="B116" s="38" t="str">
        <f>Kriteeristö!L116</f>
        <v>Tietojenkäsittely-ympäristön toimijoiden tunnistaminen - TL IV</v>
      </c>
      <c r="C116" s="36" t="str">
        <f>Kriteeristö!M116</f>
        <v xml:space="preserve">Alikriteeri tarkentaa pääkriteerin vaatimusta.
</v>
      </c>
      <c r="D116" s="51"/>
      <c r="E116" s="36" t="s">
        <v>165</v>
      </c>
      <c r="F116" s="38" t="str">
        <f>Kriteeristö!AN116</f>
        <v>Ei ehdoteta hankintaan</v>
      </c>
      <c r="G116" s="29"/>
      <c r="H116" s="29"/>
    </row>
    <row r="117" spans="1:8" ht="62.45">
      <c r="A117" s="53" t="str">
        <f>Kriteeristö!U117</f>
        <v>TEK-08.5, L:TL III, E:Kriittinen, S:, TS:</v>
      </c>
      <c r="B117" s="38" t="str">
        <f>Kriteeristö!L117</f>
        <v>Tietojenkäsittely-ympäristön toimijoiden tunnistaminen - TL III</v>
      </c>
      <c r="C117" s="36" t="str">
        <f>Kriteeristö!M117</f>
        <v xml:space="preserve">Alikriteeri tarkentaa pääkriteerin vaatimusta.
</v>
      </c>
      <c r="D117" s="51"/>
      <c r="E117" s="36" t="s">
        <v>165</v>
      </c>
      <c r="F117" s="38" t="str">
        <f>Kriteeristö!AN117</f>
        <v>Ei ehdoteta hankintaan</v>
      </c>
      <c r="G117" s="29"/>
      <c r="H117" s="29"/>
    </row>
    <row r="118" spans="1:8" ht="75">
      <c r="A118" s="53" t="str">
        <f>Kriteeristö!U118</f>
        <v>TEK-09, L:Salassa pidettävä, E:Kriittinen, S:, TS:Erityinen henkilötietoryhmä</v>
      </c>
      <c r="B118" s="38" t="str">
        <f>Kriteeristö!L118</f>
        <v>Tietojärjestelmien fyysinen turvallisuus</v>
      </c>
      <c r="C118" s="36" t="str">
        <f>Kriteeristö!M118</f>
        <v xml:space="preserve">Tietoaineistoja on käsiteltävä ja säilytettävä toimitiloissa, jotka ovat tietoaineiston luottamuksellisuuteen, eheyteen ja saatavuuteen liittyvien vaatimusten toteuttamiseksi riittävän turvallisia.
</v>
      </c>
      <c r="D118" s="51"/>
      <c r="E118" s="36" t="s">
        <v>166</v>
      </c>
      <c r="F118" s="38" t="str">
        <f>Kriteeristö!AN118</f>
        <v>Valinnainen</v>
      </c>
      <c r="G118" s="29"/>
      <c r="H118" s="29"/>
    </row>
    <row r="119" spans="1:8" ht="62.45">
      <c r="A119" s="53" t="str">
        <f>Kriteeristö!U119</f>
        <v>TEK-10, L:Salassa pidettävä, E:Tärkeä, S:, TS:Erityinen henkilötietoryhmä</v>
      </c>
      <c r="B119" s="38" t="str">
        <f>Kriteeristö!L119</f>
        <v>Järjestelmäkovennus</v>
      </c>
      <c r="C119" s="36" t="str">
        <f>Kriteeristö!M119</f>
        <v xml:space="preserve">Käytössä on menettelytapa, jolla järjestelmät asennetaan järjestelmällisesti siten, että lopputuloksena on kovennettu asennus. 
</v>
      </c>
      <c r="D119" s="51"/>
      <c r="E119" s="36" t="s">
        <v>167</v>
      </c>
      <c r="F119" s="38" t="str">
        <f>Kriteeristö!AN119</f>
        <v>Valinnainen</v>
      </c>
      <c r="G119" s="29"/>
      <c r="H119" s="29"/>
    </row>
    <row r="120" spans="1:8" ht="75">
      <c r="A120" s="53" t="str">
        <f>Kriteeristö!U120</f>
        <v>TEK-10.1, L:Salassa pidettävä, E:Tärkeä, S:, TS:Erityinen henkilötietoryhmä</v>
      </c>
      <c r="B120" s="38" t="str">
        <f>Kriteeristö!L120</f>
        <v>Järjestelmäkovennus - käytössä olevien palveluiden minimointi</v>
      </c>
      <c r="C120" s="36" t="str">
        <f>Kriteeristö!M120</f>
        <v xml:space="preserve">Käyttöön on otettu vain käyttövaatimusten ja tietojen käsittelyn kannalta olennaiset toiminnot, laitteet ja palvelut. 
</v>
      </c>
      <c r="D120" s="51"/>
      <c r="E120" s="36" t="s">
        <v>147</v>
      </c>
      <c r="F120" s="38" t="str">
        <f>Kriteeristö!AN120</f>
        <v>Valinnainen</v>
      </c>
      <c r="G120" s="29"/>
      <c r="H120" s="29"/>
    </row>
    <row r="121" spans="1:8" ht="75">
      <c r="A121" s="53" t="str">
        <f>Kriteeristö!U121</f>
        <v>TEK-10.2, L:Salassa pidettävä, E:Tärkeä, S:, TS:Erityinen henkilötietoryhmä</v>
      </c>
      <c r="B121" s="38" t="str">
        <f>Kriteeristö!L121</f>
        <v>Järjestelmäkovennus - kovennusten varmistaminen koko elinkaaren ajan</v>
      </c>
      <c r="C121" s="36" t="str">
        <f>Kriteeristö!M121</f>
        <v xml:space="preserve">Kovennusten voimassaolosta ja vaikuttavuudesta huolehditaan koko tietojärjestelmän elinkaaren ajan.
</v>
      </c>
      <c r="D121" s="51"/>
      <c r="E121" s="36" t="s">
        <v>147</v>
      </c>
      <c r="F121" s="38" t="str">
        <f>Kriteeristö!AN121</f>
        <v>Valinnainen</v>
      </c>
      <c r="G121" s="29"/>
      <c r="H121" s="29"/>
    </row>
    <row r="122" spans="1:8" ht="50.1">
      <c r="A122" s="53" t="str">
        <f>Kriteeristö!U122</f>
        <v>TEK-10.3, L:TL III, E:Kriittinen, S:, TS:</v>
      </c>
      <c r="B122" s="38" t="str">
        <f>Kriteeristö!L122</f>
        <v>Järjestelmäkovennus - turvallisuusluokitellut ympäristöt</v>
      </c>
      <c r="C122" s="36" t="str">
        <f>Kriteeristö!M122</f>
        <v xml:space="preserve">Alikriteeri tarkentaa pääkriteerin vaatimusta.
</v>
      </c>
      <c r="D122" s="51"/>
      <c r="E122" s="36" t="s">
        <v>168</v>
      </c>
      <c r="F122" s="38" t="str">
        <f>Kriteeristö!AN122</f>
        <v>Ei ehdoteta hankintaan</v>
      </c>
      <c r="G122" s="29"/>
      <c r="H122" s="29"/>
    </row>
    <row r="123" spans="1:8" ht="75">
      <c r="A123" s="53" t="str">
        <f>Kriteeristö!U123</f>
        <v>TEK-11, L:Salassa pidettävä, E:Normaali, S:Normaali, TS:Erityinen henkilötietoryhmä</v>
      </c>
      <c r="B123" s="38" t="str">
        <f>Kriteeristö!L123</f>
        <v>Haittaohjelmilta suojautuminen</v>
      </c>
      <c r="C123" s="36" t="str">
        <f>Kriteeristö!M123</f>
        <v xml:space="preserve">Tietojenkäsittely-ympäristössä toteutetaan luotettavat menetelmät haittaohjelmauhkien ennaltaehkäisyyn, estämiseen, havaitsemiseen, vastustuskykyyn ja tilanteen korjaamiseen.
</v>
      </c>
      <c r="D123" s="51"/>
      <c r="E123" s="36" t="s">
        <v>169</v>
      </c>
      <c r="F123" s="38" t="str">
        <f>Kriteeristö!AN123</f>
        <v>Valinnainen</v>
      </c>
      <c r="G123" s="29"/>
      <c r="H123" s="29"/>
    </row>
    <row r="124" spans="1:8" ht="37.5">
      <c r="A124" s="53" t="str">
        <f>Kriteeristö!U124</f>
        <v>TEK-11.1, L:TL IV, E:, S:, TS:</v>
      </c>
      <c r="B124" s="38" t="str">
        <f>Kriteeristö!L124</f>
        <v>Haittaohjelmilta suojautuminen - TL IV</v>
      </c>
      <c r="C124" s="36" t="str">
        <f>Kriteeristö!M124</f>
        <v xml:space="preserve">Alikriteeri tarkentaa pääkriteerin vaatimusta.
</v>
      </c>
      <c r="D124" s="51"/>
      <c r="E124" s="36" t="s">
        <v>170</v>
      </c>
      <c r="F124" s="38" t="str">
        <f>Kriteeristö!AN124</f>
        <v>Ei ehdoteta hankintaan</v>
      </c>
      <c r="G124" s="29"/>
      <c r="H124" s="29"/>
    </row>
    <row r="125" spans="1:8" ht="37.5">
      <c r="A125" s="53" t="str">
        <f>Kriteeristö!U125</f>
        <v>TEK-11.2, L:TL III, E:, S:, TS:</v>
      </c>
      <c r="B125" s="38" t="str">
        <f>Kriteeristö!L125</f>
        <v>Haittaohjelmilta suojautuminen - TL III</v>
      </c>
      <c r="C125" s="36" t="str">
        <f>Kriteeristö!M125</f>
        <v xml:space="preserve">Alikriteeri tarkentaa pääkriteerin vaatimusta.
</v>
      </c>
      <c r="D125" s="51"/>
      <c r="E125" s="36" t="s">
        <v>170</v>
      </c>
      <c r="F125" s="38" t="str">
        <f>Kriteeristö!AN125</f>
        <v>Ei ehdoteta hankintaan</v>
      </c>
      <c r="G125" s="29"/>
      <c r="H125" s="29"/>
    </row>
    <row r="126" spans="1:8" ht="37.5">
      <c r="A126" s="53" t="str">
        <f>Kriteeristö!U126</f>
        <v>TEK-11.3, L:TL II, E:, S:, TS:</v>
      </c>
      <c r="B126" s="38" t="str">
        <f>Kriteeristö!L126</f>
        <v>Haittaohjelmilta suojautuminen - TL II</v>
      </c>
      <c r="C126" s="36" t="str">
        <f>Kriteeristö!M126</f>
        <v xml:space="preserve">Alikriteeri tarkentaa pääkriteerin vaatimusta.
</v>
      </c>
      <c r="D126" s="51"/>
      <c r="E126" s="36" t="s">
        <v>170</v>
      </c>
      <c r="F126" s="38" t="str">
        <f>Kriteeristö!AN126</f>
        <v>Ei ehdoteta hankintaan</v>
      </c>
      <c r="G126" s="29"/>
      <c r="H126" s="29"/>
    </row>
    <row r="127" spans="1:8" ht="99.95">
      <c r="A127" s="53" t="str">
        <f>Kriteeristö!U127</f>
        <v>TEK-12, L:Julkinen, E:Vähäinen, S:Vähäinen, TS:Henkilötieto</v>
      </c>
      <c r="B127" s="38" t="str">
        <f>Kriteeristö!L127</f>
        <v>Turvallisuuteen liittyvien tapahtumien jäljitettävyys</v>
      </c>
      <c r="C127" s="36" t="str">
        <f>Kriteeristö!M127</f>
        <v xml:space="preserve">Tietojen luvattoman muuttamisen ja muun luvattoman tai asiattoman tietojen käsittelyn havaitsemiseksi tietojenkäsittely-ympäristössä toteutetaan luotettavat menetelmät turvallisuuteen liittyvien tapahtumien jäljitettävyyden varmistamiseksi.
</v>
      </c>
      <c r="D127" s="51"/>
      <c r="E127" s="36" t="s">
        <v>170</v>
      </c>
      <c r="F127" s="38" t="str">
        <f>Kriteeristö!AN127</f>
        <v>Olennainen</v>
      </c>
      <c r="G127" s="29"/>
      <c r="H127" s="29"/>
    </row>
    <row r="128" spans="1:8" ht="75">
      <c r="A128" s="53" t="str">
        <f>Kriteeristö!U128</f>
        <v>TEK-12.1, L:Julkinen, E:Vähäinen, S:Vähäinen, TS:Henkilötieto</v>
      </c>
      <c r="B128" s="38" t="str">
        <f>Kriteeristö!L128</f>
        <v>Turvallisuuteen liittyvien tapahtumien jäljitettävyys - tietojen luovutukset</v>
      </c>
      <c r="C128" s="36" t="str">
        <f>Kriteeristö!M128</f>
        <v xml:space="preserve">Tietojärjestelmien käytöstä ja niistä tehtävistä tietojen luovutuksista kerätään tarpeelliset lokitiedot, jos tietojärjestelmän käyttö edellyttää tunnistautumista tai muuta kirjautumista.
</v>
      </c>
      <c r="D128" s="51"/>
      <c r="E128" s="36" t="s">
        <v>171</v>
      </c>
      <c r="F128" s="38" t="str">
        <f>Kriteeristö!AN128</f>
        <v>Olennainen</v>
      </c>
      <c r="G128" s="29"/>
      <c r="H128" s="29"/>
    </row>
    <row r="129" spans="1:8" ht="62.45">
      <c r="A129" s="53" t="str">
        <f>Kriteeristö!U129</f>
        <v>TEK-12.2, L:TL III, E:, S:, TS:</v>
      </c>
      <c r="B129" s="38" t="str">
        <f>Kriteeristö!L129</f>
        <v>Turvallisuuteen liittyvien tapahtumien jäljitettävyys - TL III</v>
      </c>
      <c r="C129" s="36" t="str">
        <f>Kriteeristö!M129</f>
        <v xml:space="preserve">Turvallisuusluokan II–III tiedon käsittely on rekisteröitävä sähköiseen lokiin, tietojärjestelmään, asiarekisteriin tai tietoon (esimerkiksi dokumentin osaksi).
</v>
      </c>
      <c r="D129" s="51"/>
      <c r="E129" s="36" t="s">
        <v>172</v>
      </c>
      <c r="F129" s="38" t="str">
        <f>Kriteeristö!AN129</f>
        <v>Ei ehdoteta hankintaan</v>
      </c>
      <c r="G129" s="29"/>
      <c r="H129" s="29"/>
    </row>
    <row r="130" spans="1:8" ht="50.1">
      <c r="A130" s="53" t="str">
        <f>Kriteeristö!U130</f>
        <v>TEK-12.3, L:TL I, E:, S:, TS:</v>
      </c>
      <c r="B130" s="38" t="str">
        <f>Kriteeristö!L130</f>
        <v>Turvallisuuteen liittyvien tapahtumien jäljitettävyys - TL I</v>
      </c>
      <c r="C130" s="36" t="str">
        <f>Kriteeristö!M130</f>
        <v xml:space="preserve">Alikriteeri tarkentaa pääkriteerin vaatimusta.
</v>
      </c>
      <c r="D130" s="51"/>
      <c r="E130" s="36" t="s">
        <v>173</v>
      </c>
      <c r="F130" s="38" t="str">
        <f>Kriteeristö!AN130</f>
        <v>Ei ehdoteta hankintaan</v>
      </c>
      <c r="G130" s="29"/>
      <c r="H130" s="29"/>
    </row>
    <row r="131" spans="1:8" ht="137.44999999999999">
      <c r="A131" s="53" t="str">
        <f>Kriteeristö!U131</f>
        <v>TEK-13, L:Salassa pidettävä, E:Tärkeä, S:Tärkeä, TS:Erityinen henkilötietoryhmä</v>
      </c>
      <c r="B131" s="38" t="str">
        <f>Kriteeristö!L131</f>
        <v>Poikkeamien havainnointikyky ja toipuminen</v>
      </c>
      <c r="C131" s="36" t="str">
        <f>Kriteeristö!M131</f>
        <v xml:space="preserve">Tietojenkäsittely-ympäristössä toteutetaan luotettavat menetelmät, joilla pyritään havaitsemaan hyökkäys tietojenkäsittely-ympäristöä vastaan, rajoittamaan hyökkäyksen vaikutukset mahdollisimman pieneen osaan tietoja tai tietojenkäsittely-ympäristön resursseja ja estämään muut vahingot, sekä palauttamaan tietojenkäsittely-ympäristön suojattu tilanne viipymättä.
</v>
      </c>
      <c r="D131" s="51"/>
      <c r="E131" s="36" t="s">
        <v>174</v>
      </c>
      <c r="F131" s="38" t="str">
        <f>Kriteeristö!AN131</f>
        <v>Valinnainen</v>
      </c>
      <c r="G131" s="29"/>
      <c r="H131" s="29"/>
    </row>
    <row r="132" spans="1:8" ht="75">
      <c r="A132" s="53" t="str">
        <f>Kriteeristö!U132</f>
        <v>TEK-13.1, L:Salassa pidettävä, E:Tärkeä, S:, TS:Erityinen henkilötietoryhmä</v>
      </c>
      <c r="B132" s="38" t="str">
        <f>Kriteeristö!L132</f>
        <v>Poikkeamien havainnointikyky ja toipuminen - poikkeamien havainnointi lokitiedoista</v>
      </c>
      <c r="C132" s="36" t="str">
        <f>Kriteeristö!M132</f>
        <v xml:space="preserve">Alikriteeri tarkentaa pääkriteerin vaatimusta.
</v>
      </c>
      <c r="D132" s="51"/>
      <c r="E132" s="36" t="s">
        <v>174</v>
      </c>
      <c r="F132" s="38" t="str">
        <f>Kriteeristö!AN132</f>
        <v>Valinnainen</v>
      </c>
      <c r="G132" s="29"/>
      <c r="H132" s="29"/>
    </row>
    <row r="133" spans="1:8" ht="37.5">
      <c r="A133" s="53" t="str">
        <f>Kriteeristö!U133</f>
        <v>TEK-13.2, L:TL IV, E:Tärkeä, S:, TS:</v>
      </c>
      <c r="B133" s="38" t="str">
        <f>Kriteeristö!L133</f>
        <v>Poikkeamien havainnointikyky ja toipuminen - TL IV</v>
      </c>
      <c r="C133" s="36" t="str">
        <f>Kriteeristö!M133</f>
        <v xml:space="preserve">Alikriteeri tarkentaa pääkriteerin vaatimusta.
</v>
      </c>
      <c r="D133" s="51"/>
      <c r="E133" s="36" t="s">
        <v>174</v>
      </c>
      <c r="F133" s="38" t="str">
        <f>Kriteeristö!AN133</f>
        <v>Ei ehdoteta hankintaan</v>
      </c>
      <c r="G133" s="29"/>
      <c r="H133" s="29"/>
    </row>
    <row r="134" spans="1:8" ht="50.1">
      <c r="A134" s="53" t="str">
        <f>Kriteeristö!U134</f>
        <v>TEK-13.3, L:TL I, E:, S:, TS:</v>
      </c>
      <c r="B134" s="38" t="str">
        <f>Kriteeristö!L134</f>
        <v>Poikkeamien havainnointikyky ja toipuminen - TL I</v>
      </c>
      <c r="C134" s="36" t="str">
        <f>Kriteeristö!M134</f>
        <v xml:space="preserve">Käyttäjien ja ylläpitäjien toimintaa seurataan poikkeuksellisen toiminnan havaitsemiseksi.
</v>
      </c>
      <c r="D134" s="51"/>
      <c r="E134" s="36" t="s">
        <v>175</v>
      </c>
      <c r="F134" s="38" t="str">
        <f>Kriteeristö!AN134</f>
        <v>Ei ehdoteta hankintaan</v>
      </c>
      <c r="G134" s="29"/>
      <c r="H134" s="29"/>
    </row>
    <row r="135" spans="1:8" ht="125.1">
      <c r="A135" s="53" t="str">
        <f>Kriteeristö!U135</f>
        <v>TEK-14, L:Julkinen, E:Vähäinen, S:Vähäinen, TS:Henkilötieto</v>
      </c>
      <c r="B135" s="38" t="str">
        <f>Kriteeristö!L135</f>
        <v>Ohjelmistojen turvallisuuden varmistaminen</v>
      </c>
      <c r="C135" s="36" t="str">
        <f>Kriteeristö!M135</f>
        <v xml:space="preserve">Sovellukset ja ohjelmointirajapinnat (API:t) suunnitellaan, kehitetään, testataan ja otetaan käyttöön alan hyvien turvallisuuskäytäntöjen mukaisesti. Sovellusten ja rajapintojen on kestettävä niitä vastaan käytettävissä olevat yleiset hyökkäysmenetelmät ilman, että käsiteltävien tietojen luottamuksellisuus, eheys tai saatavuus vaarantuu.
</v>
      </c>
      <c r="D135" s="51"/>
      <c r="E135" s="36" t="s">
        <v>176</v>
      </c>
      <c r="F135" s="38" t="str">
        <f>Kriteeristö!AN135</f>
        <v>Olennainen</v>
      </c>
      <c r="G135" s="29"/>
      <c r="H135" s="29"/>
    </row>
    <row r="136" spans="1:8" ht="174.95">
      <c r="A136" s="53" t="str">
        <f>Kriteeristö!U136</f>
        <v>TEK-15, L:TL III, E:, S:, TS:</v>
      </c>
      <c r="B136" s="38" t="str">
        <f>Kriteeristö!L136</f>
        <v>Hajasäteily (TEMPEST) ja elektroninen tiedustelu</v>
      </c>
      <c r="C136" s="36" t="str">
        <f>Kriteeristö!M136</f>
        <v xml:space="preserve">Turvatoimia toteutetaan turvallisuusluokiteltuihin tietoihin liittyvässä tietojenkäsittely-ympäristössä riittävän turvallisilla menetelmillä niin, että tahattomat sähkömagneettiset vuodot eivät vaaranna tietoja (TEMPEST-turvatoimet). Nämä turvatoimet on suhteutettava tiedon hyväksikäytön riskiin ja turvallisuusluokkaan. Käsiteltäessä turvallisuusluokan III tai II tietoja sähköisesti, on pidettävä huolta, että elektroniseen tiedusteluun liittyviä riskejä on pienennetty riittävästi.
</v>
      </c>
      <c r="D136" s="51"/>
      <c r="E136" s="36" t="s">
        <v>174</v>
      </c>
      <c r="F136" s="38" t="str">
        <f>Kriteeristö!AN136</f>
        <v>Ei ehdoteta hankintaan</v>
      </c>
      <c r="G136" s="29"/>
      <c r="H136" s="29"/>
    </row>
    <row r="137" spans="1:8" ht="50.1">
      <c r="A137" s="53" t="str">
        <f>Kriteeristö!U137</f>
        <v>TEK-15.1, L:TL II, E:, S:, TS:</v>
      </c>
      <c r="B137" s="38" t="str">
        <f>Kriteeristö!L137</f>
        <v>Hajasäteily (TEMPEST) ja elektroninen tiedustelu - TL II</v>
      </c>
      <c r="C137" s="36" t="str">
        <f>Kriteeristö!M137</f>
        <v xml:space="preserve">Alikriteeri tarkentaa pääkriteerin vaatimusta.
</v>
      </c>
      <c r="D137" s="51"/>
      <c r="E137" s="36" t="s">
        <v>174</v>
      </c>
      <c r="F137" s="38" t="str">
        <f>Kriteeristö!AN137</f>
        <v>Ei ehdoteta hankintaan</v>
      </c>
      <c r="G137" s="29"/>
      <c r="H137" s="29"/>
    </row>
    <row r="138" spans="1:8" ht="50.1">
      <c r="A138" s="53" t="str">
        <f>Kriteeristö!U138</f>
        <v>TEK-15.2, L:TL I, E:, S:, TS:</v>
      </c>
      <c r="B138" s="38" t="str">
        <f>Kriteeristö!L138</f>
        <v>Hajasäteily (TEMPEST) ja elektroninen tiedustelu - TL I</v>
      </c>
      <c r="C138" s="36" t="str">
        <f>Kriteeristö!M138</f>
        <v xml:space="preserve">Alikriteeri tarkentaa pääkriteerin vaatimusta.
</v>
      </c>
      <c r="D138" s="51"/>
      <c r="E138" s="36" t="s">
        <v>175</v>
      </c>
      <c r="F138" s="38" t="str">
        <f>Kriteeristö!AN138</f>
        <v>Ei ehdoteta hankintaan</v>
      </c>
      <c r="G138" s="29"/>
      <c r="H138" s="29"/>
    </row>
    <row r="139" spans="1:8" ht="162.6">
      <c r="A139" s="53" t="str">
        <f>Kriteeristö!U139</f>
        <v>TEK-16, L:Salassa pidettävä, E:Tärkeä, S:, TS:Erityinen henkilötietoryhmä</v>
      </c>
      <c r="B139" s="38" t="str">
        <f>Kriteeristö!L139</f>
        <v xml:space="preserve">Tiedon salaaminen
</v>
      </c>
      <c r="C139" s="36" t="str">
        <f>Kriteeristö!M139</f>
        <v xml:space="preserve">Kun salassa pidettävää tietoa siirretään yleisissä tietoverkoissa, tieto salataan salausratkaisulla, jossa ei ole tunnettuja haavoittuvuuksia ja joka tukee valmistajalta saatujen tietojen mukaan moderneja salausvahvuuksia ja -asetuksia. Lisäksi tietojensiirto on järjestettävä siten, että vastaanottaja varmistetaan tai tunnistetaan riittävän tietoturvallisella tavalla ennen kuin vastaanottaja pääsee käsittelemään siirrettyjä turvallisuusluokittelemattomia salassa pidettäviä tietoja.
</v>
      </c>
      <c r="D139" s="51"/>
      <c r="E139" s="36" t="s">
        <v>177</v>
      </c>
      <c r="F139" s="38" t="str">
        <f>Kriteeristö!AN139</f>
        <v>Valinnainen</v>
      </c>
      <c r="G139" s="29"/>
      <c r="H139" s="29"/>
    </row>
    <row r="140" spans="1:8" ht="75">
      <c r="A140" s="53" t="str">
        <f>Kriteeristö!U140</f>
        <v>TEK-16.1, L:Salassa pidettävä, E:Tärkeä, S:, TS:Erityinen henkilötietoryhmä</v>
      </c>
      <c r="B140" s="38" t="str">
        <f>Kriteeristö!L140</f>
        <v xml:space="preserve">Tiedon salaaminen - salaaminen turvallisuusalueen sisällä
</v>
      </c>
      <c r="C140" s="36" t="str">
        <f>Kriteeristö!M140</f>
        <v xml:space="preserve">Kun salassa pidettävää tietoa siirretään viranomaisen sisäisessä verkossa, voidaan käyttää alemman tason salausta tai salaamatonta tiedonsiirtoa riskinhallintaprosessin tulosten perusteella.
</v>
      </c>
      <c r="D140" s="51"/>
      <c r="E140" s="36" t="s">
        <v>178</v>
      </c>
      <c r="F140" s="38" t="str">
        <f>Kriteeristö!AN140</f>
        <v>Valinnainen</v>
      </c>
      <c r="G140" s="29"/>
      <c r="H140" s="29"/>
    </row>
    <row r="141" spans="1:8" ht="137.44999999999999">
      <c r="A141" s="53" t="str">
        <f>Kriteeristö!U141</f>
        <v>TEK-16.2, L:TL IV, E:, S:, TS:</v>
      </c>
      <c r="B141" s="38" t="str">
        <f>Kriteeristö!L141</f>
        <v>Tiedon salaaminen - turvallisuusluokitellun tiedon siirto turvallisuusalueiden ulkopuolella</v>
      </c>
      <c r="C141" s="36" t="str">
        <f>Kriteeristö!M141</f>
        <v xml:space="preserve">Kun turvallisuusluokiteltua tietoa siirretään hyväksyttyjen fyysisesti suojattujen turvallisuusalueiden ulkopuolella, tieto/tietoliikenne salataan riittävän turvallisella menetelmällä. Lisäksi tietojensiirto on järjestettävä siten, että vastaanottaja varmistetaan tai tunnistetaan riittävän tietoturvallisella tavalla ennen kuin vastaanottaja pääsee käsittelemään siirrettyjä turvallisuusluokiteltuja tietoja.
</v>
      </c>
      <c r="D141" s="51"/>
      <c r="E141" s="36" t="s">
        <v>179</v>
      </c>
      <c r="F141" s="38" t="str">
        <f>Kriteeristö!AN141</f>
        <v>Ei ehdoteta hankintaan</v>
      </c>
      <c r="G141" s="29"/>
      <c r="H141" s="29"/>
    </row>
    <row r="142" spans="1:8" ht="112.5">
      <c r="A142" s="53" t="str">
        <f>Kriteeristö!U142</f>
        <v>TEK-16.3, L:TL IV, E:, S:, TS:</v>
      </c>
      <c r="B142" s="38" t="str">
        <f>Kriteeristö!L142</f>
        <v>Tiedon salaaminen - turvallisuusluokitellun tiedon siirto turvallisuusalueiden sisällä</v>
      </c>
      <c r="C142" s="36" t="str">
        <f>Kriteeristö!M142</f>
        <v xml:space="preserve">Kun turvallisuusluokiteltua tietoa siirretään hyväksyttyjen fyysisesti suojattujen turvallisuusalueiden sisäpuolella, alemman tason salausta tai salaamatonta siirtoa voidaan käyttää riskinhallintaprosessin tulosten perusteella toimivaltaisen viranomaisen erillishyväksyntään perustuen.
</v>
      </c>
      <c r="D142" s="51"/>
      <c r="E142" s="36" t="s">
        <v>180</v>
      </c>
      <c r="F142" s="38" t="str">
        <f>Kriteeristö!AN142</f>
        <v>Ei ehdoteta hankintaan</v>
      </c>
      <c r="G142" s="29"/>
      <c r="H142" s="29"/>
    </row>
    <row r="143" spans="1:8" ht="150">
      <c r="A143" s="53" t="str">
        <f>Kriteeristö!U143</f>
        <v>TEK-16.4, L:TL III, E:, S:, TS:</v>
      </c>
      <c r="B143" s="38" t="str">
        <f>Kriteeristö!L143</f>
        <v>Tiedon salaaminen - TL III</v>
      </c>
      <c r="C143" s="36" t="str">
        <f>Kriteeristö!M143</f>
        <v xml:space="preserve">Vain turvallisuusluokan III sähköisten tietojen säilytys on mahdollista kyseisen turvallisuusluokan mukaisessa päätelaitteessa turva-alueen ulkopuolella edellyttäen, että a) tiedot on suojattu ko. turvallisuusluokalle riittävän turvallisella salausratkaisulla , ja että b) päätelaitteen tietoturvallisuudesta, erityisesti ko. turvallisuusluokalle edellytettävästä luottamuksellisuudesta ja eheydestä on huolehdittu riittävin menettelyin.
</v>
      </c>
      <c r="D143" s="51"/>
      <c r="E143" s="36" t="s">
        <v>180</v>
      </c>
      <c r="F143" s="38" t="str">
        <f>Kriteeristö!AN143</f>
        <v>Ei ehdoteta hankintaan</v>
      </c>
      <c r="G143" s="29"/>
      <c r="H143" s="29"/>
    </row>
    <row r="144" spans="1:8" ht="37.5">
      <c r="A144" s="53" t="str">
        <f>Kriteeristö!U144</f>
        <v>TEK-16.5, L:TL I, E:, S:, TS:</v>
      </c>
      <c r="B144" s="38" t="str">
        <f>Kriteeristö!L144</f>
        <v>Tiedon salaaminen - TL I</v>
      </c>
      <c r="C144" s="36" t="str">
        <f>Kriteeristö!M144</f>
        <v xml:space="preserve">Alikriteeri tarkentaa pääkriteerin vaatimusta.
</v>
      </c>
      <c r="D144" s="51"/>
      <c r="E144" s="36" t="s">
        <v>175</v>
      </c>
      <c r="F144" s="38" t="str">
        <f>Kriteeristö!AN144</f>
        <v>Ei ehdoteta hankintaan</v>
      </c>
      <c r="G144" s="29"/>
      <c r="H144" s="29"/>
    </row>
    <row r="145" spans="1:8" ht="50.1">
      <c r="A145" s="53" t="str">
        <f>Kriteeristö!U145</f>
        <v>TEK-17, L:Julkinen, E:Vähäinen, S:Vähäinen, TS:Henkilötieto</v>
      </c>
      <c r="B145" s="38" t="str">
        <f>Kriteeristö!L145</f>
        <v>Muutoshallintamenettelyt</v>
      </c>
      <c r="C145" s="36" t="str">
        <f>Kriteeristö!M145</f>
        <v xml:space="preserve">Tietojenkäsittely-ympäristöön tehtäviin muutoksiin on käytössä turvallisuuden huomioiva muutostenhallintamenettely.
</v>
      </c>
      <c r="D145" s="51"/>
      <c r="E145" s="36" t="s">
        <v>147</v>
      </c>
      <c r="F145" s="38" t="str">
        <f>Kriteeristö!AN145</f>
        <v>Olennainen</v>
      </c>
      <c r="G145" s="29"/>
      <c r="H145" s="29"/>
    </row>
    <row r="146" spans="1:8" ht="75">
      <c r="A146" s="53" t="str">
        <f>Kriteeristö!U146</f>
        <v>TEK-17.1, L:Julkinen, E:Vähäinen, S:Vähäinen, TS:Henkilötieto</v>
      </c>
      <c r="B146" s="38" t="str">
        <f>Kriteeristö!L146</f>
        <v>Muutoshallintamenettelyt - uudelleenarviointi</v>
      </c>
      <c r="C146" s="36" t="str">
        <f>Kriteeristö!M146</f>
        <v xml:space="preserve">Tietoturvallisuutta koskevat tarkastukset ja uudelleentarkastelut suoritetaan määräajoin tietojenkäsittely-ympäristön toiminnan ja huollon aikana sekä poikkeuksellisten tilanteiden ilmetessä.
</v>
      </c>
      <c r="D146" s="51"/>
      <c r="E146" s="36" t="s">
        <v>181</v>
      </c>
      <c r="F146" s="38" t="str">
        <f>Kriteeristö!AN146</f>
        <v>Olennainen</v>
      </c>
      <c r="G146" s="29"/>
      <c r="H146" s="29"/>
    </row>
    <row r="147" spans="1:8" ht="62.45">
      <c r="A147" s="53" t="str">
        <f>Kriteeristö!U147</f>
        <v>TEK-17.2, L:Julkinen, E:Vähäinen, S:Vähäinen, TS:Henkilötieto</v>
      </c>
      <c r="B147" s="38" t="str">
        <f>Kriteeristö!L147</f>
        <v>Muutoshallintamenettelyt - dokumentointi</v>
      </c>
      <c r="C147" s="36" t="str">
        <f>Kriteeristö!M147</f>
        <v xml:space="preserve">Tietojenkäsittely-ympäristön turvallisuusasiakirjoja kehitetään sen elinkaaren aikana erottamattomana osana muutosten- ja asetustenhallintaprosessia.
</v>
      </c>
      <c r="D147" s="51"/>
      <c r="E147" s="36" t="s">
        <v>147</v>
      </c>
      <c r="F147" s="38" t="str">
        <f>Kriteeristö!AN147</f>
        <v>Olennainen</v>
      </c>
      <c r="G147" s="29"/>
      <c r="H147" s="29"/>
    </row>
    <row r="148" spans="1:8" ht="37.5">
      <c r="A148" s="53" t="str">
        <f>Kriteeristö!U148</f>
        <v>TEK-17.3, L:TL IV, E:Tärkeä, S:Tärkeä, TS:</v>
      </c>
      <c r="B148" s="38" t="str">
        <f>Kriteeristö!L148</f>
        <v>Muutoshallintamenettelyt - TL IV</v>
      </c>
      <c r="C148" s="36" t="str">
        <f>Kriteeristö!M148</f>
        <v xml:space="preserve">Alikriteeri tarkentaa pääkriteerin vaatimusta.
</v>
      </c>
      <c r="D148" s="51"/>
      <c r="E148" s="36" t="s">
        <v>182</v>
      </c>
      <c r="F148" s="38" t="str">
        <f>Kriteeristö!AN148</f>
        <v>Ei ehdoteta hankintaan</v>
      </c>
      <c r="G148" s="29"/>
      <c r="H148" s="29"/>
    </row>
    <row r="149" spans="1:8" ht="37.5">
      <c r="A149" s="53" t="str">
        <f>Kriteeristö!U149</f>
        <v>TEK-17.4, L:TL II, E:Kriittinen, S:Kriittinen, TS:</v>
      </c>
      <c r="B149" s="38" t="str">
        <f>Kriteeristö!L149</f>
        <v>Muutoshallintamenettelyt - TL II</v>
      </c>
      <c r="C149" s="36" t="str">
        <f>Kriteeristö!M149</f>
        <v xml:space="preserve">Alikriteeri tarkentaa pääkriteerin vaatimusta.
</v>
      </c>
      <c r="D149" s="51"/>
      <c r="E149" s="36" t="s">
        <v>182</v>
      </c>
      <c r="F149" s="38" t="str">
        <f>Kriteeristö!AN149</f>
        <v>Ei ehdoteta hankintaan</v>
      </c>
      <c r="G149" s="29"/>
      <c r="H149" s="29"/>
    </row>
    <row r="150" spans="1:8" ht="50.1">
      <c r="A150" s="53" t="str">
        <f>Kriteeristö!U150</f>
        <v>TEK-18, L:Salassa pidettävä, E:Normaali, S:, TS:Henkilötieto</v>
      </c>
      <c r="B150" s="38" t="str">
        <f>Kriteeristö!L150</f>
        <v>Etäkäyttö</v>
      </c>
      <c r="C150" s="36" t="str">
        <f>Kriteeristö!M150</f>
        <v xml:space="preserve">Etäkäytössä käyttäjät ohjeistettu ja tunnistetaan riittävän luotettavasti.
</v>
      </c>
      <c r="D150" s="51"/>
      <c r="E150" s="36" t="s">
        <v>182</v>
      </c>
      <c r="F150" s="38" t="str">
        <f>Kriteeristö!AN150</f>
        <v>Valinnainen</v>
      </c>
      <c r="G150" s="29"/>
      <c r="H150" s="29"/>
    </row>
    <row r="151" spans="1:8" ht="99.95">
      <c r="A151" s="53" t="str">
        <f>Kriteeristö!U151</f>
        <v>TEK-18.1, L:Salassa pidettävä, E:Tärkeä, S:, TS:Erityinen henkilötietoryhmä</v>
      </c>
      <c r="B151" s="38" t="str">
        <f>Kriteeristö!L151</f>
        <v>Etäkäyttö - tietojen ja tietoliikenteen salaaminen</v>
      </c>
      <c r="C151" s="36" t="str">
        <f>Kriteeristö!M151</f>
        <v xml:space="preserve">Turvallisuusalueen ulkopuolella etäkäytössä käytettävät päätelaitteet, muistivälineet ja tietoliikenneyhteydet ovat suojattu käyttäen sellaisia salausratkaisuja, joissa ei ole tunnettuja haavoittuvuuksia ja jotka tukevat valmistajilta saatujen tietojen mukaan moderneja salausvahvuuksia ja -asetuksia.
</v>
      </c>
      <c r="D151" s="51"/>
      <c r="E151" s="36" t="s">
        <v>182</v>
      </c>
      <c r="F151" s="38" t="str">
        <f>Kriteeristö!AN151</f>
        <v>Valinnainen</v>
      </c>
      <c r="G151" s="29"/>
      <c r="H151" s="29"/>
    </row>
    <row r="152" spans="1:8" ht="75">
      <c r="A152" s="53" t="str">
        <f>Kriteeristö!U152</f>
        <v>TEK-18.2, L:TL IV, E:, S:, TS:</v>
      </c>
      <c r="B152" s="38" t="str">
        <f>Kriteeristö!L152</f>
        <v>Etäkäyttö - turvallisuusluokitettujen tietojen ja tietoliikenteen salaaminen</v>
      </c>
      <c r="C152" s="36" t="str">
        <f>Kriteeristö!M152</f>
        <v xml:space="preserve">Turvallisuusalueen ulkopuolella etäkäytössä käytettävät päätelaitteet, muistivälineet ja tietoliikenneyhteydet ovat suojattu käyttäen ko. turvallisuusluokan huomioiden riittävän turvallisia salausratkaisuja.
</v>
      </c>
      <c r="D152" s="51"/>
      <c r="E152" s="36" t="s">
        <v>180</v>
      </c>
      <c r="F152" s="38" t="str">
        <f>Kriteeristö!AN152</f>
        <v>Ei ehdoteta hankintaan</v>
      </c>
      <c r="G152" s="29"/>
      <c r="H152" s="29"/>
    </row>
    <row r="153" spans="1:8" ht="62.45">
      <c r="A153" s="53" t="str">
        <f>Kriteeristö!U153</f>
        <v>TEK-18.3, L:TL IV, E:Tärkeä, S:, TS:</v>
      </c>
      <c r="B153" s="38" t="str">
        <f>Kriteeristö!L153</f>
        <v>Etäkäyttö - käyttäjien vahva tunnistaminen</v>
      </c>
      <c r="C153" s="36" t="str">
        <f>Kriteeristö!M153</f>
        <v xml:space="preserve">Etäkäytössä järjestelmien käyttäjät tunnistetaan käyttäen vahvaa, vähintään kahteen todennustekijään perustuvaa käyttäjätunnistusta. 
</v>
      </c>
      <c r="D153" s="51"/>
      <c r="E153" s="36" t="s">
        <v>147</v>
      </c>
      <c r="F153" s="38" t="str">
        <f>Kriteeristö!AN153</f>
        <v>Ei ehdoteta hankintaan</v>
      </c>
      <c r="G153" s="29"/>
      <c r="H153" s="29"/>
    </row>
    <row r="154" spans="1:8" ht="50.1">
      <c r="A154" s="53" t="str">
        <f>Kriteeristö!U154</f>
        <v>TEK-18.4, L:TL IV, E:Kriittinen, S:, TS:</v>
      </c>
      <c r="B154" s="38" t="str">
        <f>Kriteeristö!L154</f>
        <v>Etäkäyttö - hyväksytyt laitteet</v>
      </c>
      <c r="C154" s="36" t="str">
        <f>Kriteeristö!M154</f>
        <v xml:space="preserve">Etäkäytössä käytetään vain käyttöympäristöön hyväksyttyjä ja tunnistettuja laitteita.
</v>
      </c>
      <c r="D154" s="51"/>
      <c r="E154" s="36" t="s">
        <v>147</v>
      </c>
      <c r="F154" s="38" t="str">
        <f>Kriteeristö!AN154</f>
        <v>Ei ehdoteta hankintaan</v>
      </c>
      <c r="G154" s="29"/>
      <c r="H154" s="29"/>
    </row>
    <row r="155" spans="1:8" ht="50.1">
      <c r="A155" s="53" t="str">
        <f>Kriteeristö!U155</f>
        <v>TEK-18.5, L:TL III, E:, S:, TS:</v>
      </c>
      <c r="B155" s="38" t="str">
        <f>Kriteeristö!L155</f>
        <v>Etäkäyttö - turvallisuusluokitellun tiedon käyttö julkisella paikalla</v>
      </c>
      <c r="C155" s="36" t="str">
        <f>Kriteeristö!M155</f>
        <v xml:space="preserve">Turvallisuusluokiteltuja tietoja ei lueta tai muuten käsitellä matkalla tai julkisilla paikoilla.
</v>
      </c>
      <c r="D155" s="51"/>
      <c r="E155" s="36" t="s">
        <v>147</v>
      </c>
      <c r="F155" s="38" t="str">
        <f>Kriteeristö!AN155</f>
        <v>Ei ehdoteta hankintaan</v>
      </c>
      <c r="G155" s="29"/>
      <c r="H155" s="29"/>
    </row>
    <row r="156" spans="1:8" ht="37.5">
      <c r="A156" s="53" t="str">
        <f>Kriteeristö!U156</f>
        <v>TEK-18.6, L:TL III, E:Kriittinen, S:, TS:</v>
      </c>
      <c r="B156" s="38" t="str">
        <f>Kriteeristö!L156</f>
        <v>Etäkäyttö - laitetunnistus</v>
      </c>
      <c r="C156" s="36" t="str">
        <f>Kriteeristö!M156</f>
        <v xml:space="preserve">Alikriteeri tarkentaa pääkriteerin vaatimusta.
</v>
      </c>
      <c r="D156" s="51"/>
      <c r="E156" s="36" t="s">
        <v>147</v>
      </c>
      <c r="F156" s="38" t="str">
        <f>Kriteeristö!AN156</f>
        <v>Ei ehdoteta hankintaan</v>
      </c>
      <c r="G156" s="29"/>
      <c r="H156" s="29"/>
    </row>
    <row r="157" spans="1:8" ht="162.6">
      <c r="A157" s="53" t="str">
        <f>Kriteeristö!U157</f>
        <v>TEK-18.7, L:TL III, E:Kriittinen, S:, TS:</v>
      </c>
      <c r="B157" s="38" t="str">
        <f>Kriteeristö!L157</f>
        <v>Etäkäyttö - TL III</v>
      </c>
      <c r="C157" s="36" t="str">
        <f>Kriteeristö!M157</f>
        <v xml:space="preserve">Turvallisuusluokan III sähköisten tietojen etäkäyttö (käsittely) ja säilytys on mahdollista kyseisen turvallisuusluokan mukaisessa päätelaitteessa turva-alueiden ulkopuolella edellyttäen, että a) tiedot on suojattu ko. turvallisuusluokalle riittävän turvallisella salausratkaisulla, ja että b) päätelaitteen tietoturvallisuudesta, erityisesti ko. turvallisuusluokalle edellytettävästä luottamuksellisuudesta ja eheydestä on huolehdittu riittävin menettelyin.
</v>
      </c>
      <c r="D157" s="51"/>
      <c r="E157" s="36" t="s">
        <v>183</v>
      </c>
      <c r="F157" s="38" t="str">
        <f>Kriteeristö!AN157</f>
        <v>Ei ehdoteta hankintaan</v>
      </c>
      <c r="G157" s="29"/>
      <c r="H157" s="29"/>
    </row>
    <row r="158" spans="1:8" ht="50.1">
      <c r="A158" s="53" t="str">
        <f>Kriteeristö!U158</f>
        <v>TEK-18.8, L:TL II, E:, S:, TS:</v>
      </c>
      <c r="B158" s="38" t="str">
        <f>Kriteeristö!L158</f>
        <v>Etäkäyttö - etäkäyttö turvallisuusalueella</v>
      </c>
      <c r="C158" s="36" t="str">
        <f>Kriteeristö!M158</f>
        <v xml:space="preserve">Järjestelmien etäkäyttö rajataan toimivaltaisen viranomaisen hyväksymälle turvallisuusalueelle.
</v>
      </c>
      <c r="D158" s="51"/>
      <c r="E158" s="36" t="s">
        <v>184</v>
      </c>
      <c r="F158" s="38" t="str">
        <f>Kriteeristö!AN158</f>
        <v>Ei ehdoteta hankintaan</v>
      </c>
      <c r="G158" s="29"/>
      <c r="H158" s="29"/>
    </row>
    <row r="159" spans="1:8" ht="37.5">
      <c r="A159" s="53" t="str">
        <f>Kriteeristö!U159</f>
        <v>TEK-18.9, L:TL I, E:, S:, TS:</v>
      </c>
      <c r="B159" s="38" t="str">
        <f>Kriteeristö!L159</f>
        <v>Etäkäyttö - TL I</v>
      </c>
      <c r="C159" s="36" t="str">
        <f>Kriteeristö!M159</f>
        <v xml:space="preserve">Alikriteeri tarkentaa pääkriteerin vaatimusta.
</v>
      </c>
      <c r="D159" s="51"/>
      <c r="E159" s="36" t="s">
        <v>175</v>
      </c>
      <c r="F159" s="38" t="str">
        <f>Kriteeristö!AN159</f>
        <v>Ei ehdoteta hankintaan</v>
      </c>
      <c r="G159" s="29"/>
      <c r="H159" s="29"/>
    </row>
    <row r="160" spans="1:8" ht="62.45">
      <c r="A160" s="53" t="str">
        <f>Kriteeristö!U160</f>
        <v>TEK-19, L:Julkinen, E:Vähäinen, S:Vähäinen, TS:Henkilötieto</v>
      </c>
      <c r="B160" s="38" t="str">
        <f>Kriteeristö!L160</f>
        <v>Ohjelmistohaavoittuvuuksien hallinta</v>
      </c>
      <c r="C160" s="36" t="str">
        <f>Kriteeristö!M160</f>
        <v xml:space="preserve">Tietojenkäsittely-ympäristön koko elinkaaren ajalle toteutetaan luotettavat menettelyt ohjelmistohaavoittuvuuksien hallitsemiseksi.
</v>
      </c>
      <c r="D160" s="51"/>
      <c r="E160" s="36" t="s">
        <v>185</v>
      </c>
      <c r="F160" s="38" t="str">
        <f>Kriteeristö!AN160</f>
        <v>Olennainen</v>
      </c>
      <c r="G160" s="29"/>
      <c r="H160" s="29"/>
    </row>
    <row r="161" spans="1:8" ht="75">
      <c r="A161" s="53" t="str">
        <f>Kriteeristö!U161</f>
        <v>TEK-19.1, L:TL IV, E:Tärkeä, S:Tärkeä, TS:</v>
      </c>
      <c r="B161" s="38" t="str">
        <f>Kriteeristö!L161</f>
        <v>Ohjelmistohaavoittuvuuksien hallinta - TL IV</v>
      </c>
      <c r="C161" s="36" t="str">
        <f>Kriteeristö!M161</f>
        <v xml:space="preserve">Tietojenkäsittely-ympäristön laitteet tarkastetaan kattavasti ohjelmistohaavoittuvuuksien varalta vähintään vuosittain ja merkittävien muutosten yhteydessä.
</v>
      </c>
      <c r="D161" s="51"/>
      <c r="E161" s="36" t="s">
        <v>147</v>
      </c>
      <c r="F161" s="38" t="str">
        <f>Kriteeristö!AN161</f>
        <v>Ei ehdoteta hankintaan</v>
      </c>
      <c r="G161" s="29"/>
      <c r="H161" s="29"/>
    </row>
    <row r="162" spans="1:8" ht="75">
      <c r="A162" s="53" t="str">
        <f>Kriteeristö!U162</f>
        <v>TEK-19.2, L:TL III, E:Kriittinen, S:Kriittinen, TS:</v>
      </c>
      <c r="B162" s="38" t="str">
        <f>Kriteeristö!L162</f>
        <v>Ohjelmistohaavoittuvuuksien hallinta - TL III</v>
      </c>
      <c r="C162" s="36" t="str">
        <f>Kriteeristö!M162</f>
        <v xml:space="preserve">Tietojenkäsittely-ympäristön laitteet tarkastetaan kattavasti ohjelmistohaavoittuvuuksien varalta vähintään puolivuosittain ja merkittävien muutosten yhteydessä.
</v>
      </c>
      <c r="D162" s="51"/>
      <c r="E162" s="36" t="s">
        <v>147</v>
      </c>
      <c r="F162" s="38" t="str">
        <f>Kriteeristö!AN162</f>
        <v>Ei ehdoteta hankintaan</v>
      </c>
      <c r="G162" s="29"/>
      <c r="H162" s="29"/>
    </row>
    <row r="163" spans="1:8" ht="62.45">
      <c r="A163" s="53" t="str">
        <f>Kriteeristö!U163</f>
        <v>TEK-20, L:Julkinen, E:Vähäinen, S:Vähäinen, TS:Henkilötieto</v>
      </c>
      <c r="B163" s="38" t="str">
        <f>Kriteeristö!L163</f>
        <v>Varmuuskopiointi</v>
      </c>
      <c r="C163" s="36" t="str">
        <f>Kriteeristö!M163</f>
        <v xml:space="preserve">Varmistus- ja palautusprosessit on suunniteltu, toteutettu, testattu ja kuvattu siten, että ne vastaavat lainsäädännön ja toiminnan vaatimuksia.
</v>
      </c>
      <c r="D163" s="51"/>
      <c r="E163" s="36" t="s">
        <v>186</v>
      </c>
      <c r="F163" s="38" t="str">
        <f>Kriteeristö!AN163</f>
        <v>Olennainen</v>
      </c>
      <c r="G163" s="29"/>
      <c r="H163" s="29"/>
    </row>
    <row r="164" spans="1:8" ht="37.5">
      <c r="A164" s="53" t="str">
        <f>Kriteeristö!U164</f>
        <v>TEK-20.1, L:TL IV, E:, S:, TS:</v>
      </c>
      <c r="B164" s="38" t="str">
        <f>Kriteeristö!L164</f>
        <v>Varmuuskopiointi -TL IV</v>
      </c>
      <c r="C164" s="36" t="str">
        <f>Kriteeristö!M164</f>
        <v xml:space="preserve">Alikriteeri tarkentaa pääkriteerin vaatimusta.
</v>
      </c>
      <c r="D164" s="51"/>
      <c r="E164" s="36" t="s">
        <v>147</v>
      </c>
      <c r="F164" s="38" t="str">
        <f>Kriteeristö!AN164</f>
        <v>Ei ehdoteta hankintaan</v>
      </c>
      <c r="G164" s="29"/>
      <c r="H164" s="29"/>
    </row>
    <row r="165" spans="1:8" ht="50.1">
      <c r="A165" s="53" t="str">
        <f>Kriteeristö!U165</f>
        <v>TEK-20.2, L:TL III, E:, S:, TS:</v>
      </c>
      <c r="B165" s="38" t="str">
        <f>Kriteeristö!L165</f>
        <v>Varmuuskopiointi - varmuuskopioiden rekisteröinti ja käsittelyn seuranta</v>
      </c>
      <c r="C165" s="36" t="str">
        <f>Kriteeristö!M165</f>
        <v xml:space="preserve">Alikriteeri tarkentaa pääkriteerin vaatimusta.
</v>
      </c>
      <c r="D165" s="51"/>
      <c r="E165" s="36" t="s">
        <v>147</v>
      </c>
      <c r="F165" s="38" t="str">
        <f>Kriteeristö!AN165</f>
        <v>Ei ehdoteta hankintaan</v>
      </c>
      <c r="G165" s="29"/>
      <c r="H165" s="29"/>
    </row>
    <row r="166" spans="1:8" ht="87.6">
      <c r="A166" s="53" t="str">
        <f>Kriteeristö!U166</f>
        <v>TEK-21, L:Salassa pidettävä, E:, S:, TS:Erityinen henkilötietoryhmä</v>
      </c>
      <c r="B166" s="38" t="str">
        <f>Kriteeristö!L166</f>
        <v>Sähköisessä muodossa olevien tietojen tuhoaminen</v>
      </c>
      <c r="C166" s="36" t="str">
        <f>Kriteeristö!M166</f>
        <v xml:space="preserve">Sähköisessä muodossa olevien tietojen tuhoaminen on järjestetty luotettavasti. Salassa pidettävien tietojen tuhoamisessa käytetään menetelmiä, joilla estetään tietojen kokoaminen uudelleen kokonaan tai osittain.
</v>
      </c>
      <c r="D166" s="51"/>
      <c r="E166" s="36" t="s">
        <v>147</v>
      </c>
      <c r="F166" s="38" t="str">
        <f>Kriteeristö!AN166</f>
        <v>Valinnainen</v>
      </c>
      <c r="G166" s="29"/>
      <c r="H166" s="29"/>
    </row>
    <row r="167" spans="1:8" ht="62.45">
      <c r="A167" s="53" t="str">
        <f>Kriteeristö!U167</f>
        <v>TEK-21.1, L:Julkinen, E:Vähäinen, S:Vähäinen, TS:Henkilötieto</v>
      </c>
      <c r="B167" s="38" t="str">
        <f>Kriteeristö!L167</f>
        <v>Sähköisessä muodossa olevien tietojen tuhoaminen - arkistointi</v>
      </c>
      <c r="C167" s="36" t="str">
        <f>Kriteeristö!M167</f>
        <v xml:space="preserve">Tietojen arkistointivelvollisuus on huomioitu tiedon elinkaaren hallinnassa.
</v>
      </c>
      <c r="D167" s="51" t="s">
        <v>187</v>
      </c>
      <c r="E167" s="36" t="s">
        <v>188</v>
      </c>
      <c r="F167" s="38" t="str">
        <f>Kriteeristö!AN167</f>
        <v>Olennainen</v>
      </c>
      <c r="G167" s="29"/>
      <c r="H167" s="29"/>
    </row>
    <row r="168" spans="1:8" ht="75">
      <c r="A168" s="53" t="str">
        <f>Kriteeristö!U168</f>
        <v>TEK-21.2, L:Salassa pidettävä, E:, S:, TS:Henkilötieto</v>
      </c>
      <c r="B168" s="38" t="str">
        <f>Kriteeristö!L168</f>
        <v>Sähköisessä muodossa olevien tietojen tuhoaminen - pilvipalveluissa olevan tiedon tuhoaminen</v>
      </c>
      <c r="C168" s="36" t="str">
        <f>Kriteeristö!M168</f>
        <v xml:space="preserve">Alikriteeri tarkentaa pääkriteerin vaatimusta.
</v>
      </c>
      <c r="D168" s="51" t="s">
        <v>187</v>
      </c>
      <c r="E168" s="36" t="s">
        <v>189</v>
      </c>
      <c r="F168" s="38" t="str">
        <f>Kriteeristö!AN168</f>
        <v>Valinnainen</v>
      </c>
      <c r="G168" s="29"/>
      <c r="H168" s="29"/>
    </row>
    <row r="169" spans="1:8" ht="50.1">
      <c r="A169" s="53" t="str">
        <f>Kriteeristö!U169</f>
        <v>TEK-21.3, L:TL IV, E:, S:, TS:</v>
      </c>
      <c r="B169" s="38" t="str">
        <f>Kriteeristö!L169</f>
        <v>Sähköisessä muodossa olevien tietojen tuhoaminen - TL IV</v>
      </c>
      <c r="C169" s="36" t="str">
        <f>Kriteeristö!M169</f>
        <v xml:space="preserve">Alikriteeri tarkentaa pääkriteerin vaatimusta.
</v>
      </c>
      <c r="D169" s="51" t="s">
        <v>187</v>
      </c>
      <c r="E169" s="36" t="s">
        <v>185</v>
      </c>
      <c r="F169" s="38" t="str">
        <f>Kriteeristö!AN169</f>
        <v>Ei ehdoteta hankintaan</v>
      </c>
      <c r="G169" s="29"/>
      <c r="H169" s="29"/>
    </row>
    <row r="170" spans="1:8" ht="75">
      <c r="A170" s="53" t="str">
        <f>Kriteeristö!U170</f>
        <v>TEK-21.4, L:TL II, E:, S:, TS:</v>
      </c>
      <c r="B170" s="38" t="str">
        <f>Kriteeristö!L170</f>
        <v>Sähköisessä muodossa olevien tietojen tuhoaminen - toisen viranomaisen laatimat tiedot</v>
      </c>
      <c r="C170" s="36" t="str">
        <f>Kriteeristö!M170</f>
        <v xml:space="preserve">Jos tiedon on laatinut toinen viranomainen, tarpeettomaksi käyneen tiedon tuhoamisesta on ilmoitettava tiedon laatineelle viranomaiselle, jollei sitä palauteta tiedon laatineelle viranomaiselle.
</v>
      </c>
      <c r="D170" s="51"/>
      <c r="E170" s="36" t="s">
        <v>173</v>
      </c>
      <c r="F170" s="38" t="str">
        <f>Kriteeristö!AN170</f>
        <v>Ei ehdoteta hankintaan</v>
      </c>
      <c r="G170" s="29"/>
      <c r="H170" s="29"/>
    </row>
    <row r="171" spans="1:8" ht="62.45">
      <c r="A171" s="53" t="str">
        <f>Kriteeristö!U171</f>
        <v>TEK-21.5, L:TL II, E:, S:, TS:</v>
      </c>
      <c r="B171" s="38" t="str">
        <f>Kriteeristö!L171</f>
        <v>Sähköisessä muodossa olevien tietojen tuhoaminen - tuhoamisen suorittaja</v>
      </c>
      <c r="C171" s="36" t="str">
        <f>Kriteeristö!M171</f>
        <v xml:space="preserve">Tiedon tuhoamisen saa suorittaa vain henkilö, jonka viranomainen on tähän tehtävään määrännyt. Valmisteluvaiheen versiot voi tuhota ne laatinut henkilö.
</v>
      </c>
      <c r="D171" s="51"/>
      <c r="E171" s="36" t="s">
        <v>173</v>
      </c>
      <c r="F171" s="38" t="str">
        <f>Kriteeristö!AN171</f>
        <v>Ei ehdoteta hankintaan</v>
      </c>
      <c r="G171" s="29"/>
      <c r="H171" s="29"/>
    </row>
    <row r="172" spans="1:8" ht="50.1">
      <c r="A172" s="53" t="str">
        <f>Kriteeristö!U172</f>
        <v>TEK-21.6, L:TL I, E:, S:, TS:</v>
      </c>
      <c r="B172" s="38" t="str">
        <f>Kriteeristö!L172</f>
        <v>Sähköisessä muodossa olevien tietojen tuhoaminen - TL I</v>
      </c>
      <c r="C172" s="36" t="str">
        <f>Kriteeristö!M172</f>
        <v xml:space="preserve">Alikriteeri tarkentaa pääkriteerin vaatimusta.
</v>
      </c>
      <c r="D172" s="51"/>
      <c r="E172" s="36" t="s">
        <v>173</v>
      </c>
      <c r="F172" s="38" t="str">
        <f>Kriteeristö!AN172</f>
        <v>Ei ehdoteta hankintaan</v>
      </c>
      <c r="G172" s="29"/>
      <c r="H172" s="29"/>
    </row>
    <row r="173" spans="1:8" ht="112.5">
      <c r="A173" s="53" t="str">
        <f>Kriteeristö!U173</f>
        <v>TEK-22, L:, E:, S:Normaali, TS:</v>
      </c>
      <c r="B173" s="38" t="str">
        <f>Kriteeristö!L173</f>
        <v>Tietojärjestelmien saatavuus</v>
      </c>
      <c r="C173" s="36" t="str">
        <f>Kriteeristö!M173</f>
        <v xml:space="preserve">Viranomaisen on varmistettava tietojärjestelmien saatavuus koko niiden elinkaaren ajan.
</v>
      </c>
      <c r="D173" s="51"/>
      <c r="E173" s="36" t="s">
        <v>190</v>
      </c>
      <c r="F173" s="38" t="str">
        <f>Kriteeristö!AN173</f>
        <v>Valinnainen</v>
      </c>
      <c r="G173" s="29"/>
      <c r="H173" s="29"/>
    </row>
    <row r="174" spans="1:8" ht="99.95">
      <c r="A174" s="53" t="str">
        <f>Kriteeristö!U174</f>
        <v>TEK-22.1, L:, E:, S:Normaali, TS:</v>
      </c>
      <c r="B174" s="38" t="str">
        <f>Kriteeristö!L174</f>
        <v>Tietojärjestelmien saatavuus - saatavuutta suojaavat menettelyt</v>
      </c>
      <c r="C174" s="36" t="str">
        <f>Kriteeristö!M174</f>
        <v xml:space="preserve">Saattavuutta suojaavien menettelyiden toteutus on suhteutettu palautusaikatavoitteeseen.
</v>
      </c>
      <c r="D174" s="51"/>
      <c r="E174" s="36" t="s">
        <v>191</v>
      </c>
      <c r="F174" s="38" t="str">
        <f>Kriteeristö!AN174</f>
        <v>Valinnainen</v>
      </c>
      <c r="G174" s="29"/>
      <c r="H174" s="29"/>
    </row>
    <row r="175" spans="1:8" ht="99.95">
      <c r="A175" s="53" t="str">
        <f>Kriteeristö!U175</f>
        <v>TEK-22.2, L:, E:, S:Normaali, TS:</v>
      </c>
      <c r="B175" s="38" t="str">
        <f>Kriteeristö!L175</f>
        <v>Tietojärjestelmien saatavuus - palveluiden valvonta</v>
      </c>
      <c r="C175" s="36" t="str">
        <f>Kriteeristö!M175</f>
        <v xml:space="preserve">Palveluiden ja tietojärjestelmien saatavuutta seurataan ja valvotaan niiden kriittisyyden edellyttämällä tasolla.
</v>
      </c>
      <c r="D175" s="51"/>
      <c r="E175" s="36" t="s">
        <v>191</v>
      </c>
      <c r="F175" s="38" t="str">
        <f>Kriteeristö!AN175</f>
        <v>Valinnainen</v>
      </c>
      <c r="G175" s="29"/>
      <c r="H175" s="29"/>
    </row>
    <row r="176" spans="1:8" ht="87.6">
      <c r="A176" s="53" t="str">
        <f>Kriteeristö!U176</f>
        <v>TEK-23, L:, E:Tärkeä, S:Tärkeä, TS:</v>
      </c>
      <c r="B176" s="38" t="str">
        <f>Kriteeristö!L176</f>
        <v>Tietojärjestelmien toiminnallinen käytettävyys</v>
      </c>
      <c r="C176" s="36" t="str">
        <f>Kriteeristö!M176</f>
        <v xml:space="preserve">Viranomainen on varmistanut tehtävien hoitamisen kannalta olennaisten tietojärjestelmien vikasietoisuuden ja toiminnallisen käytettävyyden. 
</v>
      </c>
      <c r="D176" s="51"/>
      <c r="E176" s="36" t="s">
        <v>192</v>
      </c>
      <c r="F176" s="38" t="str">
        <f>Kriteeristö!AN176</f>
        <v>Ei ehdoteta hankintaan</v>
      </c>
      <c r="G176" s="29"/>
      <c r="H176" s="29"/>
    </row>
    <row r="177" spans="1:8" ht="75">
      <c r="A177" s="53" t="str">
        <f>Kriteeristö!U177</f>
        <v>VAR-01, L:Julkinen, E:Vähäinen, S:Vähäinen, TS:Henkilötieto</v>
      </c>
      <c r="B177" s="38" t="str">
        <f>Kriteeristö!L177</f>
        <v>Varautumista ohjaava lainsäädäntö</v>
      </c>
      <c r="C177" s="36" t="str">
        <f>Kriteeristö!M177</f>
        <v xml:space="preserve">Organisaatio on tunnistanut toimintaansa ja palveluihinsa liittyvät ICT-varautumista ohjaavan kansallisen ja EU-lainsäädännön sekä muut ICT-varautumiseen liittyvät normit.
</v>
      </c>
      <c r="D177" s="51" t="s">
        <v>193</v>
      </c>
      <c r="E177" s="36" t="s">
        <v>194</v>
      </c>
      <c r="F177" s="38" t="str">
        <f>Kriteeristö!AN177</f>
        <v>Olennainen</v>
      </c>
      <c r="G177" s="29"/>
      <c r="H177" s="29"/>
    </row>
    <row r="178" spans="1:8" ht="50.1">
      <c r="A178" s="53" t="str">
        <f>Kriteeristö!U178</f>
        <v>VAR-02, L:Julkinen, E:Vähäinen, S:Vähäinen, TS:Henkilötieto</v>
      </c>
      <c r="B178" s="38" t="str">
        <f>Kriteeristö!L178</f>
        <v>Jatkuvuusvaatimusten määrittely</v>
      </c>
      <c r="C178" s="36" t="str">
        <f>Kriteeristö!M178</f>
        <v xml:space="preserve">Toiminnan ja siihen liittyvien olennaisten palvelujen ja tietojärjestelmien jatkuvuusvaatimukset on määritelty.
</v>
      </c>
      <c r="D178" s="51" t="s">
        <v>195</v>
      </c>
      <c r="E178" s="36" t="s">
        <v>196</v>
      </c>
      <c r="F178" s="38" t="str">
        <f>Kriteeristö!AN178</f>
        <v>Olennainen</v>
      </c>
      <c r="G178" s="29"/>
      <c r="H178" s="29"/>
    </row>
    <row r="179" spans="1:8" ht="62.45">
      <c r="A179" s="53" t="str">
        <f>Kriteeristö!U179</f>
        <v>VAR-02.1, L:Julkinen, E:Vähäinen, S:Vähäinen, TS:Henkilötieto</v>
      </c>
      <c r="B179" s="38" t="str">
        <f>Kriteeristö!L179</f>
        <v>Jatkuvuusvaatimusten määrittely - palveluiden siirrot</v>
      </c>
      <c r="C179" s="36" t="str">
        <f>Kriteeristö!M179</f>
        <v xml:space="preserve">Jatkuvuusvaatimuksissa on huomioitu palveluiden kotiuttamiset ja siirrot toiselle palveluntarjoajalle.
</v>
      </c>
      <c r="D179" s="51" t="s">
        <v>197</v>
      </c>
      <c r="E179" s="36" t="s">
        <v>198</v>
      </c>
      <c r="F179" s="38" t="str">
        <f>Kriteeristö!AN179</f>
        <v>Olennainen</v>
      </c>
      <c r="G179" s="29"/>
      <c r="H179" s="29"/>
    </row>
    <row r="180" spans="1:8" ht="112.5">
      <c r="A180" s="53" t="str">
        <f>Kriteeristö!U180</f>
        <v>VAR-03, L:, E:, S:Tärkeä, TS:</v>
      </c>
      <c r="B180" s="38" t="str">
        <f>Kriteeristö!L180</f>
        <v>Jatkuvuussuunnitelmat</v>
      </c>
      <c r="C180" s="36" t="str">
        <f>Kriteeristö!M180</f>
        <v xml:space="preserve">Jatkuvuussuunnitelmat on laadittu ja otettu käyttöön. 
</v>
      </c>
      <c r="D180" s="51" t="s">
        <v>199</v>
      </c>
      <c r="E180" s="36" t="s">
        <v>200</v>
      </c>
      <c r="F180" s="38" t="str">
        <f>Kriteeristö!AN180</f>
        <v>Ei ehdoteta hankintaan</v>
      </c>
      <c r="G180" s="29"/>
      <c r="H180" s="29"/>
    </row>
    <row r="181" spans="1:8" ht="62.45">
      <c r="A181" s="53" t="str">
        <f>Kriteeristö!U181</f>
        <v>VAR-03.1, L:, E:, S:Tärkeä, TS:</v>
      </c>
      <c r="B181" s="38" t="str">
        <f>Kriteeristö!L181</f>
        <v>Jatkuvuussuunnitelmien testaus ja harjoittelu</v>
      </c>
      <c r="C181" s="36" t="str">
        <f>Kriteeristö!M181</f>
        <v xml:space="preserve">Jatkuvuussuunnitelmia testataan ja harjoitellaan säännöllisesti.
</v>
      </c>
      <c r="D181" s="51" t="s">
        <v>201</v>
      </c>
      <c r="E181" s="36" t="s">
        <v>202</v>
      </c>
      <c r="F181" s="38" t="str">
        <f>Kriteeristö!AN181</f>
        <v>Ei ehdoteta hankintaan</v>
      </c>
      <c r="G181" s="29"/>
      <c r="H181" s="29"/>
    </row>
    <row r="182" spans="1:8" ht="99.95">
      <c r="A182" s="53" t="str">
        <f>Kriteeristö!U182</f>
        <v>VAR-04, L:, E:, S:Tärkeä, TS:</v>
      </c>
      <c r="B182" s="38" t="str">
        <f>Kriteeristö!L182</f>
        <v>Resurssit ja osaaminen</v>
      </c>
      <c r="C182" s="36" t="str">
        <f>Kriteeristö!M182</f>
        <v xml:space="preserve">Henkilöt tuntevat omaan toimintaan liittyvät jatkuvuus- ja toipumissuunnitelmat sekä osaavat toimia niiden mukaisesti.
Varahenkilöt on nimetty ja heidän kykynsä hoitaa tehtävät normaalitilanteissa on varmistettu. 
</v>
      </c>
      <c r="D182" s="51" t="s">
        <v>203</v>
      </c>
      <c r="E182" s="36"/>
      <c r="F182" s="38" t="str">
        <f>Kriteeristö!AN182</f>
        <v>Ei ehdoteta hankintaan</v>
      </c>
      <c r="G182" s="29"/>
      <c r="H182" s="29"/>
    </row>
    <row r="183" spans="1:8" ht="62.45">
      <c r="A183" s="53" t="str">
        <f>Kriteeristö!U183</f>
        <v>VAR-05, L:, E:, S:Tärkeä, TS:</v>
      </c>
      <c r="B183" s="38" t="str">
        <f>Kriteeristö!L183</f>
        <v>Henkilöstön saatavuus ja varajärjestelyt</v>
      </c>
      <c r="C183" s="36" t="str">
        <f>Kriteeristö!M183</f>
        <v xml:space="preserve">Kriittisten tehtävien suorittamiseksi on suunniteltu ja valmisteltu erityistilanteiden vaihtoehtoiset toimintatavat ja henkilöstön saatavuus ja varajärjestelyt.
</v>
      </c>
      <c r="D183" s="51" t="s">
        <v>203</v>
      </c>
      <c r="E183" s="36"/>
      <c r="F183" s="38" t="str">
        <f>Kriteeristö!AN183</f>
        <v>Ei ehdoteta hankintaan</v>
      </c>
      <c r="G183" s="29"/>
      <c r="H183" s="29"/>
    </row>
    <row r="184" spans="1:8" ht="50.1">
      <c r="A184" s="53" t="str">
        <f>Kriteeristö!U184</f>
        <v>VAR-06, L:, E:, S:Tärkeä, TS:</v>
      </c>
      <c r="B184" s="38" t="str">
        <f>Kriteeristö!L184</f>
        <v>Tietoliikenteen varmistaminen</v>
      </c>
      <c r="C184" s="36" t="str">
        <f>Kriteeristö!M184</f>
        <v xml:space="preserve">Tietoliikennepalveluissa ja -sopimuksissa on huomioitu toiminnan kannalta tärkeiden palveluiden saatavuus häiriötilanteissa.
</v>
      </c>
      <c r="D184" s="51" t="s">
        <v>204</v>
      </c>
      <c r="E184" s="36" t="s">
        <v>205</v>
      </c>
      <c r="F184" s="38" t="str">
        <f>Kriteeristö!AN184</f>
        <v>Ei ehdoteta hankintaan</v>
      </c>
      <c r="G184" s="29"/>
      <c r="H184" s="29"/>
    </row>
    <row r="185" spans="1:8" ht="62.45">
      <c r="A185" s="53" t="str">
        <f>Kriteeristö!U185</f>
        <v>VAR-07, L:, E:, S:Tärkeä, TS:</v>
      </c>
      <c r="B185" s="38" t="str">
        <f>Kriteeristö!L185</f>
        <v>Tietoteknisten ympäristöjen varmentaminen</v>
      </c>
      <c r="C185" s="36" t="str">
        <f>Kriteeristö!M185</f>
        <v xml:space="preserve">Tietoteknisissä ympäristöissä ja niihin liittyvissä sopimuksissa on huomioitu toiminnan kannalta tärkeiden palveluiden saatavuus häiriötilanteissa.
</v>
      </c>
      <c r="D185" s="51" t="s">
        <v>206</v>
      </c>
      <c r="E185" s="36" t="s">
        <v>205</v>
      </c>
      <c r="F185" s="38" t="str">
        <f>Kriteeristö!AN185</f>
        <v>Ei ehdoteta hankintaan</v>
      </c>
      <c r="G185" s="29"/>
      <c r="H185" s="29"/>
    </row>
    <row r="186" spans="1:8" ht="62.45">
      <c r="A186" s="53" t="str">
        <f>Kriteeristö!U186</f>
        <v>VAR-08, L:, E:, S:Kriittinen, TS:</v>
      </c>
      <c r="B186" s="38" t="str">
        <f>Kriteeristö!L186</f>
        <v>Vikasietoisuus</v>
      </c>
      <c r="C186" s="36" t="str">
        <f>Kriteeristö!M186</f>
        <v xml:space="preserve">ICT-infrastruktuuri sekä olennaiset tietojärjestelmät on toteutettu riittävän vikasietoisiksi ja käyttövarmoiksi riskiarvioinnin perusteella.
</v>
      </c>
      <c r="D186" s="51" t="s">
        <v>207</v>
      </c>
      <c r="E186" s="36" t="s">
        <v>208</v>
      </c>
      <c r="F186" s="38" t="str">
        <f>Kriteeristö!AN186</f>
        <v>Ei ehdoteta hankintaan</v>
      </c>
      <c r="G186" s="29"/>
      <c r="H186" s="29"/>
    </row>
    <row r="187" spans="1:8" ht="62.45">
      <c r="A187" s="53" t="str">
        <f>Kriteeristö!U187</f>
        <v>VAR-08.1, L:, E:, S:Kriittinen, TS:</v>
      </c>
      <c r="B187" s="38" t="str">
        <f>Kriteeristö!L187</f>
        <v>Vikasietoisuus - riippuvuudet</v>
      </c>
      <c r="C187" s="36" t="str">
        <f>Kriteeristö!M187</f>
        <v xml:space="preserve">Palvelujen riippuvuus muista palveluista ja toisista toimijoista on otettu huomioon koko tietojenkäsittely-ympäristön ja sen vikasietoisuuden suunnittelussa.
</v>
      </c>
      <c r="D187" s="51" t="s">
        <v>203</v>
      </c>
      <c r="E187" s="36"/>
      <c r="F187" s="38" t="str">
        <f>Kriteeristö!AN187</f>
        <v>Ei ehdoteta hankintaan</v>
      </c>
      <c r="G187" s="29"/>
      <c r="H187" s="29"/>
    </row>
    <row r="188" spans="1:8" ht="50.1">
      <c r="A188" s="53" t="str">
        <f>Kriteeristö!U188</f>
        <v>VAR-09, L:, E:, S:Tärkeä, TS:</v>
      </c>
      <c r="B188" s="38" t="str">
        <f>Kriteeristö!L188</f>
        <v>Tietojärjestelmien toipumissuunnitelmat</v>
      </c>
      <c r="C188" s="36" t="str">
        <f>Kriteeristö!M188</f>
        <v xml:space="preserve">Tietojärjestelmien toipumissuunnitelmien tulee olla laadittu, otettu käyttöön ja yhteensovitettu keskenään.
</v>
      </c>
      <c r="D188" s="51" t="s">
        <v>209</v>
      </c>
      <c r="E188" s="36" t="s">
        <v>210</v>
      </c>
      <c r="F188" s="38" t="str">
        <f>Kriteeristö!AN188</f>
        <v>Ei ehdoteta hankintaan</v>
      </c>
      <c r="G188" s="29"/>
      <c r="H188" s="29"/>
    </row>
    <row r="189" spans="1:8">
      <c r="A189" s="53" t="str">
        <f>Kriteeristö!U189</f>
        <v>, L:, E:, S:, TS:</v>
      </c>
      <c r="B189" s="38">
        <f>Kriteeristö!L189</f>
        <v>0</v>
      </c>
      <c r="C189" s="36">
        <f>Kriteeristö!M189</f>
        <v>0</v>
      </c>
      <c r="D189" s="51"/>
      <c r="E189" s="36"/>
      <c r="F189" s="38" t="str">
        <f>Kriteeristö!AN189</f>
        <v/>
      </c>
      <c r="G189" s="29"/>
      <c r="H189" s="29"/>
    </row>
    <row r="190" spans="1:8">
      <c r="A190" s="53" t="str">
        <f>Kriteeristö!U190</f>
        <v>, L:, E:, S:, TS:</v>
      </c>
      <c r="B190" s="38">
        <f>Kriteeristö!L190</f>
        <v>0</v>
      </c>
      <c r="C190" s="36">
        <f>Kriteeristö!M190</f>
        <v>0</v>
      </c>
      <c r="D190" s="51"/>
      <c r="E190" s="36"/>
      <c r="F190" s="38" t="str">
        <f>Kriteeristö!AN190</f>
        <v/>
      </c>
      <c r="G190" s="29"/>
      <c r="H190" s="29"/>
    </row>
    <row r="191" spans="1:8">
      <c r="A191" s="53" t="str">
        <f>Kriteeristö!U191</f>
        <v>, L:, E:, S:, TS:</v>
      </c>
      <c r="B191" s="38">
        <f>Kriteeristö!L191</f>
        <v>0</v>
      </c>
      <c r="C191" s="36">
        <f>Kriteeristö!M191</f>
        <v>0</v>
      </c>
      <c r="D191" s="51"/>
      <c r="E191" s="36"/>
      <c r="F191" s="38" t="str">
        <f>Kriteeristö!AN191</f>
        <v/>
      </c>
      <c r="G191" s="29"/>
      <c r="H191" s="29"/>
    </row>
    <row r="192" spans="1:8">
      <c r="A192" s="53" t="str">
        <f>Kriteeristö!U192</f>
        <v>, L:, E:, S:, TS:</v>
      </c>
      <c r="B192" s="38">
        <f>Kriteeristö!L192</f>
        <v>0</v>
      </c>
      <c r="C192" s="36">
        <f>Kriteeristö!M192</f>
        <v>0</v>
      </c>
      <c r="D192" s="51"/>
      <c r="E192" s="36"/>
      <c r="F192" s="38" t="str">
        <f>Kriteeristö!AN192</f>
        <v/>
      </c>
      <c r="G192" s="29"/>
      <c r="H192" s="29"/>
    </row>
    <row r="193" spans="1:8">
      <c r="A193" s="53" t="str">
        <f>Kriteeristö!U193</f>
        <v>, L:, E:, S:, TS:</v>
      </c>
      <c r="B193" s="38">
        <f>Kriteeristö!L193</f>
        <v>0</v>
      </c>
      <c r="C193" s="36">
        <f>Kriteeristö!M193</f>
        <v>0</v>
      </c>
      <c r="D193" s="51"/>
      <c r="E193" s="36"/>
      <c r="F193" s="38" t="str">
        <f>Kriteeristö!AN193</f>
        <v/>
      </c>
      <c r="G193" s="29"/>
      <c r="H193" s="29"/>
    </row>
    <row r="194" spans="1:8">
      <c r="A194" s="53" t="str">
        <f>Kriteeristö!U194</f>
        <v>, L:, E:, S:, TS:</v>
      </c>
      <c r="B194" s="38">
        <f>Kriteeristö!L194</f>
        <v>0</v>
      </c>
      <c r="C194" s="36">
        <f>Kriteeristö!M194</f>
        <v>0</v>
      </c>
      <c r="D194" s="51"/>
      <c r="E194" s="36"/>
      <c r="F194" s="38" t="str">
        <f>Kriteeristö!AN194</f>
        <v/>
      </c>
      <c r="G194" s="29"/>
      <c r="H194" s="29"/>
    </row>
    <row r="195" spans="1:8">
      <c r="A195" s="53" t="str">
        <f>Kriteeristö!U195</f>
        <v>, L:, E:, S:, TS:</v>
      </c>
      <c r="B195" s="38">
        <f>Kriteeristö!L195</f>
        <v>0</v>
      </c>
      <c r="C195" s="36">
        <f>Kriteeristö!M195</f>
        <v>0</v>
      </c>
      <c r="D195" s="51"/>
      <c r="E195" s="36"/>
      <c r="F195" s="38" t="str">
        <f>Kriteeristö!AN195</f>
        <v/>
      </c>
      <c r="G195" s="29"/>
      <c r="H195" s="29"/>
    </row>
    <row r="196" spans="1:8">
      <c r="A196" s="53" t="str">
        <f>Kriteeristö!U196</f>
        <v>, L:, E:, S:, TS:</v>
      </c>
      <c r="B196" s="38">
        <f>Kriteeristö!L196</f>
        <v>0</v>
      </c>
      <c r="C196" s="36">
        <f>Kriteeristö!M196</f>
        <v>0</v>
      </c>
      <c r="D196" s="51"/>
      <c r="E196" s="36"/>
      <c r="F196" s="38" t="str">
        <f>Kriteeristö!AN196</f>
        <v/>
      </c>
      <c r="G196" s="29"/>
      <c r="H196" s="29"/>
    </row>
    <row r="197" spans="1:8">
      <c r="A197" s="53" t="str">
        <f>Kriteeristö!U197</f>
        <v>, L:, E:, S:, TS:</v>
      </c>
      <c r="B197" s="38">
        <f>Kriteeristö!L197</f>
        <v>0</v>
      </c>
      <c r="C197" s="36">
        <f>Kriteeristö!M197</f>
        <v>0</v>
      </c>
      <c r="D197" s="51"/>
      <c r="E197" s="36"/>
      <c r="F197" s="38" t="str">
        <f>Kriteeristö!AN197</f>
        <v/>
      </c>
      <c r="G197" s="29"/>
      <c r="H197" s="29"/>
    </row>
    <row r="198" spans="1:8">
      <c r="A198" s="53" t="str">
        <f>Kriteeristö!U198</f>
        <v>, L:, E:, S:, TS:</v>
      </c>
      <c r="B198" s="38">
        <f>Kriteeristö!L198</f>
        <v>0</v>
      </c>
      <c r="C198" s="36">
        <f>Kriteeristö!M198</f>
        <v>0</v>
      </c>
      <c r="D198" s="51"/>
      <c r="E198" s="36"/>
      <c r="F198" s="38" t="str">
        <f>Kriteeristö!AN198</f>
        <v/>
      </c>
      <c r="G198" s="29"/>
      <c r="H198" s="29"/>
    </row>
    <row r="199" spans="1:8">
      <c r="A199" s="53" t="str">
        <f>Kriteeristö!U199</f>
        <v>, L:, E:, S:, TS:</v>
      </c>
      <c r="B199" s="38">
        <f>Kriteeristö!L199</f>
        <v>0</v>
      </c>
      <c r="C199" s="36">
        <f>Kriteeristö!M199</f>
        <v>0</v>
      </c>
      <c r="D199" s="51"/>
      <c r="E199" s="36"/>
      <c r="F199" s="38" t="str">
        <f>Kriteeristö!AN199</f>
        <v/>
      </c>
      <c r="G199" s="29"/>
      <c r="H199" s="29"/>
    </row>
    <row r="200" spans="1:8">
      <c r="A200" s="53" t="str">
        <f>Kriteeristö!U200</f>
        <v>, L:, E:, S:, TS:</v>
      </c>
      <c r="B200" s="38">
        <f>Kriteeristö!L200</f>
        <v>0</v>
      </c>
      <c r="C200" s="36">
        <f>Kriteeristö!M200</f>
        <v>0</v>
      </c>
      <c r="D200" s="51"/>
      <c r="E200" s="36"/>
      <c r="F200" s="38" t="str">
        <f>Kriteeristö!AN200</f>
        <v/>
      </c>
      <c r="G200" s="29"/>
      <c r="H200" s="29"/>
    </row>
    <row r="201" spans="1:8">
      <c r="A201" s="53" t="str">
        <f>Kriteeristö!U201</f>
        <v>, L:, E:, S:, TS:</v>
      </c>
      <c r="B201" s="38">
        <f>Kriteeristö!L201</f>
        <v>0</v>
      </c>
      <c r="C201" s="36">
        <f>Kriteeristö!M201</f>
        <v>0</v>
      </c>
      <c r="D201" s="51"/>
      <c r="E201" s="36"/>
      <c r="F201" s="38" t="str">
        <f>Kriteeristö!AN201</f>
        <v/>
      </c>
      <c r="G201" s="29"/>
      <c r="H201" s="29"/>
    </row>
    <row r="202" spans="1:8">
      <c r="A202" s="53" t="str">
        <f>Kriteeristö!U202</f>
        <v>, L:, E:, S:, TS:</v>
      </c>
      <c r="B202" s="38">
        <f>Kriteeristö!L202</f>
        <v>0</v>
      </c>
      <c r="C202" s="36">
        <f>Kriteeristö!M202</f>
        <v>0</v>
      </c>
      <c r="D202" s="51"/>
      <c r="E202" s="36"/>
      <c r="F202" s="38" t="str">
        <f>Kriteeristö!AN202</f>
        <v/>
      </c>
      <c r="G202" s="29"/>
      <c r="H202" s="29"/>
    </row>
    <row r="203" spans="1:8">
      <c r="A203" s="53" t="str">
        <f>Kriteeristö!U203</f>
        <v>, L:, E:, S:, TS:</v>
      </c>
      <c r="B203" s="38">
        <f>Kriteeristö!L203</f>
        <v>0</v>
      </c>
      <c r="C203" s="36">
        <f>Kriteeristö!M203</f>
        <v>0</v>
      </c>
      <c r="D203" s="51"/>
      <c r="E203" s="36"/>
      <c r="F203" s="38" t="str">
        <f>Kriteeristö!AN203</f>
        <v/>
      </c>
      <c r="G203" s="29"/>
      <c r="H203" s="29"/>
    </row>
    <row r="204" spans="1:8">
      <c r="A204" s="53" t="str">
        <f>Kriteeristö!U204</f>
        <v>, L:, E:, S:, TS:</v>
      </c>
      <c r="B204" s="38">
        <f>Kriteeristö!L204</f>
        <v>0</v>
      </c>
      <c r="C204" s="36">
        <f>Kriteeristö!M204</f>
        <v>0</v>
      </c>
      <c r="D204" s="51"/>
      <c r="E204" s="36"/>
      <c r="F204" s="38" t="str">
        <f>Kriteeristö!AN204</f>
        <v/>
      </c>
      <c r="G204" s="29"/>
      <c r="H204" s="29"/>
    </row>
    <row r="205" spans="1:8">
      <c r="A205" s="53" t="str">
        <f>Kriteeristö!U205</f>
        <v>, L:, E:, S:, TS:</v>
      </c>
      <c r="B205" s="38">
        <f>Kriteeristö!L205</f>
        <v>0</v>
      </c>
      <c r="C205" s="36">
        <f>Kriteeristö!M205</f>
        <v>0</v>
      </c>
      <c r="D205" s="51"/>
      <c r="E205" s="36"/>
      <c r="F205" s="38" t="str">
        <f>Kriteeristö!AN205</f>
        <v/>
      </c>
      <c r="G205" s="29"/>
      <c r="H205" s="29"/>
    </row>
    <row r="206" spans="1:8">
      <c r="A206" s="53" t="str">
        <f>Kriteeristö!U206</f>
        <v>, L:, E:, S:, TS:</v>
      </c>
      <c r="B206" s="38">
        <f>Kriteeristö!L206</f>
        <v>0</v>
      </c>
      <c r="C206" s="36">
        <f>Kriteeristö!M206</f>
        <v>0</v>
      </c>
      <c r="D206" s="51"/>
      <c r="E206" s="36"/>
      <c r="F206" s="38" t="str">
        <f>Kriteeristö!AN206</f>
        <v/>
      </c>
      <c r="G206" s="29"/>
      <c r="H206" s="29"/>
    </row>
    <row r="207" spans="1:8">
      <c r="A207" s="53" t="str">
        <f>Kriteeristö!U207</f>
        <v>, L:, E:, S:, TS:</v>
      </c>
      <c r="B207" s="38">
        <f>Kriteeristö!L207</f>
        <v>0</v>
      </c>
      <c r="C207" s="36">
        <f>Kriteeristö!M207</f>
        <v>0</v>
      </c>
      <c r="D207" s="51"/>
      <c r="E207" s="36"/>
      <c r="F207" s="38" t="str">
        <f>Kriteeristö!AN207</f>
        <v/>
      </c>
      <c r="G207" s="29"/>
      <c r="H207" s="29"/>
    </row>
    <row r="208" spans="1:8">
      <c r="A208" s="53" t="str">
        <f>Kriteeristö!U208</f>
        <v>, L:, E:, S:, TS:</v>
      </c>
      <c r="B208" s="38">
        <f>Kriteeristö!L208</f>
        <v>0</v>
      </c>
      <c r="C208" s="36">
        <f>Kriteeristö!M208</f>
        <v>0</v>
      </c>
      <c r="D208" s="51"/>
      <c r="E208" s="36"/>
      <c r="F208" s="38" t="str">
        <f>Kriteeristö!AN208</f>
        <v/>
      </c>
      <c r="G208" s="29"/>
      <c r="H208" s="29"/>
    </row>
    <row r="209" spans="1:8">
      <c r="A209" s="53" t="str">
        <f>Kriteeristö!U209</f>
        <v>, L:, E:, S:, TS:</v>
      </c>
      <c r="B209" s="38">
        <f>Kriteeristö!L209</f>
        <v>0</v>
      </c>
      <c r="C209" s="36">
        <f>Kriteeristö!M209</f>
        <v>0</v>
      </c>
      <c r="D209" s="51"/>
      <c r="E209" s="36"/>
      <c r="F209" s="38" t="str">
        <f>Kriteeristö!AN209</f>
        <v/>
      </c>
      <c r="G209" s="29"/>
      <c r="H209" s="29"/>
    </row>
    <row r="210" spans="1:8">
      <c r="A210" s="53" t="str">
        <f>Kriteeristö!U210</f>
        <v>, L:, E:, S:, TS:</v>
      </c>
      <c r="B210" s="38">
        <f>Kriteeristö!L210</f>
        <v>0</v>
      </c>
      <c r="C210" s="36">
        <f>Kriteeristö!M210</f>
        <v>0</v>
      </c>
      <c r="D210" s="51"/>
      <c r="E210" s="36"/>
      <c r="F210" s="38" t="str">
        <f>Kriteeristö!AN210</f>
        <v/>
      </c>
      <c r="G210" s="29"/>
      <c r="H210" s="29"/>
    </row>
    <row r="211" spans="1:8">
      <c r="A211" s="53" t="str">
        <f>Kriteeristö!U211</f>
        <v>, L:, E:, S:, TS:</v>
      </c>
      <c r="B211" s="38">
        <f>Kriteeristö!L211</f>
        <v>0</v>
      </c>
      <c r="C211" s="36">
        <f>Kriteeristö!M211</f>
        <v>0</v>
      </c>
      <c r="D211" s="51"/>
      <c r="E211" s="36"/>
      <c r="F211" s="38" t="str">
        <f>Kriteeristö!AN211</f>
        <v/>
      </c>
      <c r="G211" s="29"/>
      <c r="H211" s="29"/>
    </row>
    <row r="212" spans="1:8">
      <c r="A212" s="53" t="str">
        <f>Kriteeristö!U212</f>
        <v>, L:, E:, S:, TS:</v>
      </c>
      <c r="B212" s="38">
        <f>Kriteeristö!L212</f>
        <v>0</v>
      </c>
      <c r="C212" s="36">
        <f>Kriteeristö!M212</f>
        <v>0</v>
      </c>
      <c r="D212" s="51"/>
      <c r="E212" s="36"/>
      <c r="F212" s="38" t="str">
        <f>Kriteeristö!AN212</f>
        <v/>
      </c>
      <c r="G212" s="29"/>
      <c r="H212" s="29"/>
    </row>
    <row r="213" spans="1:8">
      <c r="A213" s="53" t="str">
        <f>Kriteeristö!U213</f>
        <v>, L:, E:, S:, TS:</v>
      </c>
      <c r="B213" s="38">
        <f>Kriteeristö!L213</f>
        <v>0</v>
      </c>
      <c r="C213" s="36">
        <f>Kriteeristö!M213</f>
        <v>0</v>
      </c>
      <c r="D213" s="51"/>
      <c r="E213" s="36"/>
      <c r="F213" s="38" t="str">
        <f>Kriteeristö!AN213</f>
        <v/>
      </c>
      <c r="G213" s="29"/>
      <c r="H213" s="29"/>
    </row>
    <row r="214" spans="1:8">
      <c r="A214" s="53" t="str">
        <f>Kriteeristö!U214</f>
        <v>, L:, E:, S:, TS:</v>
      </c>
      <c r="B214" s="38">
        <f>Kriteeristö!L214</f>
        <v>0</v>
      </c>
      <c r="C214" s="36">
        <f>Kriteeristö!M214</f>
        <v>0</v>
      </c>
      <c r="D214" s="51"/>
      <c r="E214" s="36"/>
      <c r="F214" s="38" t="str">
        <f>Kriteeristö!AN214</f>
        <v/>
      </c>
      <c r="G214" s="29"/>
      <c r="H214" s="29"/>
    </row>
    <row r="215" spans="1:8">
      <c r="A215" s="53" t="str">
        <f>Kriteeristö!U215</f>
        <v>, L:, E:, S:, TS:</v>
      </c>
      <c r="B215" s="38">
        <f>Kriteeristö!L215</f>
        <v>0</v>
      </c>
      <c r="C215" s="36">
        <f>Kriteeristö!M215</f>
        <v>0</v>
      </c>
      <c r="D215" s="51"/>
      <c r="E215" s="36"/>
      <c r="F215" s="38" t="str">
        <f>Kriteeristö!AN215</f>
        <v/>
      </c>
      <c r="G215" s="29"/>
      <c r="H215" s="29"/>
    </row>
    <row r="216" spans="1:8">
      <c r="A216" s="53" t="str">
        <f>Kriteeristö!U216</f>
        <v>, L:, E:, S:, TS:</v>
      </c>
      <c r="B216" s="38">
        <f>Kriteeristö!L216</f>
        <v>0</v>
      </c>
      <c r="C216" s="36">
        <f>Kriteeristö!M216</f>
        <v>0</v>
      </c>
      <c r="D216" s="51"/>
      <c r="E216" s="36"/>
      <c r="F216" s="38" t="str">
        <f>Kriteeristö!AN216</f>
        <v/>
      </c>
      <c r="G216" s="29"/>
      <c r="H216" s="29"/>
    </row>
    <row r="217" spans="1:8">
      <c r="A217" s="53" t="str">
        <f>Kriteeristö!U217</f>
        <v>, L:, E:, S:, TS:</v>
      </c>
      <c r="B217" s="38">
        <f>Kriteeristö!L217</f>
        <v>0</v>
      </c>
      <c r="C217" s="36">
        <f>Kriteeristö!M217</f>
        <v>0</v>
      </c>
      <c r="D217" s="51"/>
      <c r="E217" s="36"/>
      <c r="F217" s="38" t="str">
        <f>Kriteeristö!AN217</f>
        <v/>
      </c>
      <c r="G217" s="29"/>
      <c r="H217" s="29"/>
    </row>
    <row r="218" spans="1:8">
      <c r="A218" s="53" t="str">
        <f>Kriteeristö!U218</f>
        <v>, L:, E:, S:, TS:</v>
      </c>
      <c r="B218" s="38">
        <f>Kriteeristö!L218</f>
        <v>0</v>
      </c>
      <c r="C218" s="36">
        <f>Kriteeristö!M218</f>
        <v>0</v>
      </c>
      <c r="D218" s="51"/>
      <c r="E218" s="36"/>
      <c r="F218" s="38" t="str">
        <f>Kriteeristö!AN218</f>
        <v/>
      </c>
      <c r="G218" s="29"/>
      <c r="H218" s="29"/>
    </row>
    <row r="219" spans="1:8">
      <c r="A219" s="53" t="str">
        <f>Kriteeristö!U219</f>
        <v>, L:, E:, S:, TS:</v>
      </c>
      <c r="B219" s="38">
        <f>Kriteeristö!L219</f>
        <v>0</v>
      </c>
      <c r="C219" s="36">
        <f>Kriteeristö!M219</f>
        <v>0</v>
      </c>
      <c r="D219" s="51"/>
      <c r="E219" s="36"/>
      <c r="F219" s="38" t="str">
        <f>Kriteeristö!AN219</f>
        <v/>
      </c>
      <c r="G219" s="29"/>
      <c r="H219" s="29"/>
    </row>
    <row r="220" spans="1:8">
      <c r="A220" s="53" t="str">
        <f>Kriteeristö!U220</f>
        <v>, L:, E:, S:, TS:</v>
      </c>
      <c r="B220" s="38">
        <f>Kriteeristö!L220</f>
        <v>0</v>
      </c>
      <c r="C220" s="36">
        <f>Kriteeristö!M220</f>
        <v>0</v>
      </c>
      <c r="D220" s="51"/>
      <c r="E220" s="36"/>
      <c r="F220" s="38" t="str">
        <f>Kriteeristö!AN220</f>
        <v/>
      </c>
      <c r="G220" s="29"/>
      <c r="H220" s="29"/>
    </row>
    <row r="221" spans="1:8">
      <c r="A221" s="53" t="str">
        <f>Kriteeristö!U221</f>
        <v>, L:, E:, S:, TS:</v>
      </c>
      <c r="B221" s="38">
        <f>Kriteeristö!L221</f>
        <v>0</v>
      </c>
      <c r="C221" s="36">
        <f>Kriteeristö!M221</f>
        <v>0</v>
      </c>
      <c r="D221" s="51"/>
      <c r="E221" s="36"/>
      <c r="F221" s="38" t="str">
        <f>Kriteeristö!AN221</f>
        <v/>
      </c>
      <c r="G221" s="29"/>
      <c r="H221" s="29"/>
    </row>
    <row r="222" spans="1:8">
      <c r="A222" s="53" t="str">
        <f>Kriteeristö!U222</f>
        <v>, L:, E:, S:, TS:</v>
      </c>
      <c r="B222" s="38">
        <f>Kriteeristö!L222</f>
        <v>0</v>
      </c>
      <c r="C222" s="36">
        <f>Kriteeristö!M222</f>
        <v>0</v>
      </c>
      <c r="D222" s="51"/>
      <c r="E222" s="36"/>
      <c r="F222" s="38" t="str">
        <f>Kriteeristö!AN222</f>
        <v/>
      </c>
      <c r="G222" s="29"/>
      <c r="H222" s="29"/>
    </row>
    <row r="223" spans="1:8">
      <c r="A223" s="53" t="str">
        <f>Kriteeristö!U223</f>
        <v>, L:, E:, S:, TS:</v>
      </c>
      <c r="B223" s="38">
        <f>Kriteeristö!L223</f>
        <v>0</v>
      </c>
      <c r="C223" s="36">
        <f>Kriteeristö!M223</f>
        <v>0</v>
      </c>
      <c r="D223" s="51"/>
      <c r="E223" s="36"/>
      <c r="F223" s="38" t="str">
        <f>Kriteeristö!AN223</f>
        <v/>
      </c>
      <c r="G223" s="29"/>
      <c r="H223" s="29"/>
    </row>
    <row r="224" spans="1:8">
      <c r="A224" s="36"/>
      <c r="C224" s="36"/>
      <c r="D224" s="54"/>
      <c r="E224" s="36"/>
      <c r="G224" s="29"/>
      <c r="H224" s="29"/>
    </row>
    <row r="225" spans="1:8">
      <c r="A225" s="36"/>
      <c r="C225" s="36"/>
      <c r="D225" s="54"/>
      <c r="E225" s="36"/>
      <c r="G225" s="29"/>
      <c r="H225" s="29"/>
    </row>
    <row r="226" spans="1:8">
      <c r="A226" s="36"/>
      <c r="C226" s="36"/>
      <c r="D226" s="54"/>
      <c r="E226" s="36"/>
      <c r="G226" s="29"/>
      <c r="H226" s="29"/>
    </row>
    <row r="227" spans="1:8">
      <c r="A227" s="36"/>
      <c r="C227" s="36"/>
      <c r="D227" s="54"/>
      <c r="E227" s="36"/>
      <c r="G227" s="29"/>
      <c r="H227" s="29"/>
    </row>
    <row r="228" spans="1:8">
      <c r="A228" s="36"/>
      <c r="C228" s="36"/>
      <c r="D228" s="54"/>
      <c r="E228" s="36"/>
      <c r="G228" s="29"/>
      <c r="H228" s="29"/>
    </row>
    <row r="229" spans="1:8">
      <c r="A229" s="36"/>
      <c r="C229" s="36"/>
      <c r="D229" s="54"/>
      <c r="E229" s="36"/>
      <c r="G229" s="29"/>
      <c r="H229" s="29"/>
    </row>
    <row r="230" spans="1:8">
      <c r="A230" s="36"/>
      <c r="C230" s="36"/>
      <c r="D230" s="54"/>
      <c r="E230" s="36"/>
      <c r="G230" s="29"/>
      <c r="H230" s="29"/>
    </row>
    <row r="231" spans="1:8">
      <c r="A231" s="36"/>
      <c r="C231" s="36"/>
      <c r="D231" s="54"/>
      <c r="E231" s="36"/>
      <c r="G231" s="29"/>
      <c r="H231" s="29"/>
    </row>
    <row r="232" spans="1:8">
      <c r="A232" s="36"/>
      <c r="C232" s="36"/>
      <c r="D232" s="54"/>
      <c r="E232" s="36"/>
      <c r="G232" s="29"/>
      <c r="H232" s="29"/>
    </row>
    <row r="233" spans="1:8">
      <c r="A233" s="36"/>
      <c r="C233" s="36"/>
      <c r="D233" s="54"/>
      <c r="E233" s="36"/>
      <c r="G233" s="29"/>
      <c r="H233" s="29"/>
    </row>
    <row r="234" spans="1:8">
      <c r="A234" s="36"/>
      <c r="C234" s="36"/>
      <c r="D234" s="54"/>
      <c r="E234" s="36"/>
      <c r="G234" s="29"/>
      <c r="H234" s="29"/>
    </row>
    <row r="235" spans="1:8">
      <c r="A235" s="36"/>
      <c r="C235" s="36"/>
      <c r="D235" s="54"/>
      <c r="E235" s="36"/>
      <c r="G235" s="29"/>
      <c r="H235" s="29"/>
    </row>
    <row r="236" spans="1:8">
      <c r="A236" s="36"/>
      <c r="C236" s="36"/>
      <c r="D236" s="54"/>
      <c r="E236" s="36"/>
      <c r="G236" s="29"/>
      <c r="H236" s="29"/>
    </row>
    <row r="237" spans="1:8">
      <c r="A237" s="36"/>
      <c r="C237" s="36"/>
      <c r="D237" s="54"/>
      <c r="E237" s="36"/>
      <c r="G237" s="29"/>
      <c r="H237" s="29"/>
    </row>
    <row r="238" spans="1:8">
      <c r="A238" s="36"/>
      <c r="C238" s="36"/>
      <c r="D238" s="54"/>
      <c r="E238" s="36"/>
      <c r="G238" s="29"/>
      <c r="H238" s="29"/>
    </row>
    <row r="239" spans="1:8">
      <c r="A239" s="36"/>
      <c r="C239" s="36"/>
      <c r="D239" s="54"/>
      <c r="E239" s="36"/>
      <c r="G239" s="29"/>
      <c r="H239" s="29"/>
    </row>
    <row r="240" spans="1:8">
      <c r="A240" s="36"/>
      <c r="C240" s="36"/>
      <c r="D240" s="54"/>
      <c r="E240" s="36"/>
      <c r="G240" s="29"/>
      <c r="H240" s="29"/>
    </row>
    <row r="241" spans="1:8">
      <c r="A241" s="36"/>
      <c r="C241" s="36"/>
      <c r="D241" s="54"/>
      <c r="E241" s="36"/>
      <c r="G241" s="29"/>
      <c r="H241" s="29"/>
    </row>
    <row r="242" spans="1:8">
      <c r="A242" s="36"/>
      <c r="C242" s="36"/>
      <c r="D242" s="54"/>
      <c r="E242" s="36"/>
      <c r="G242" s="29"/>
      <c r="H242" s="29"/>
    </row>
    <row r="243" spans="1:8">
      <c r="A243" s="36"/>
      <c r="C243" s="36"/>
      <c r="D243" s="54"/>
      <c r="E243" s="36"/>
      <c r="G243" s="29"/>
      <c r="H243" s="29"/>
    </row>
    <row r="244" spans="1:8">
      <c r="A244" s="36"/>
      <c r="C244" s="36"/>
      <c r="D244" s="54"/>
      <c r="E244" s="36"/>
      <c r="G244" s="29"/>
      <c r="H244" s="29"/>
    </row>
    <row r="245" spans="1:8">
      <c r="A245" s="36"/>
      <c r="C245" s="36"/>
      <c r="D245" s="54"/>
      <c r="E245" s="36"/>
      <c r="G245" s="29"/>
      <c r="H245" s="29"/>
    </row>
    <row r="246" spans="1:8">
      <c r="A246" s="36"/>
      <c r="C246" s="36"/>
      <c r="D246" s="54"/>
      <c r="E246" s="36"/>
      <c r="G246" s="29"/>
      <c r="H246" s="29"/>
    </row>
    <row r="247" spans="1:8">
      <c r="A247" s="36"/>
      <c r="C247" s="36"/>
      <c r="D247" s="54"/>
      <c r="E247" s="36"/>
      <c r="G247" s="29"/>
      <c r="H247" s="29"/>
    </row>
    <row r="248" spans="1:8">
      <c r="A248" s="36"/>
      <c r="C248" s="36"/>
      <c r="D248" s="54"/>
      <c r="E248" s="36"/>
      <c r="G248" s="29"/>
      <c r="H248" s="29"/>
    </row>
    <row r="249" spans="1:8">
      <c r="A249" s="36"/>
      <c r="C249" s="36"/>
      <c r="D249" s="54"/>
      <c r="E249" s="36"/>
      <c r="G249" s="29"/>
      <c r="H249" s="29"/>
    </row>
    <row r="250" spans="1:8">
      <c r="A250" s="36"/>
      <c r="C250" s="36"/>
      <c r="D250" s="54"/>
      <c r="E250" s="36"/>
      <c r="G250" s="29"/>
      <c r="H250" s="29"/>
    </row>
    <row r="251" spans="1:8">
      <c r="A251" s="36"/>
      <c r="C251" s="36"/>
      <c r="D251" s="54"/>
      <c r="E251" s="36"/>
      <c r="G251" s="29"/>
      <c r="H251" s="29"/>
    </row>
    <row r="252" spans="1:8">
      <c r="A252" s="36"/>
      <c r="C252" s="36"/>
      <c r="D252" s="54"/>
      <c r="E252" s="36"/>
      <c r="G252" s="29"/>
      <c r="H252" s="29"/>
    </row>
    <row r="253" spans="1:8">
      <c r="A253" s="36"/>
      <c r="C253" s="36"/>
      <c r="D253" s="54"/>
      <c r="E253" s="36"/>
      <c r="G253" s="29"/>
      <c r="H253" s="29"/>
    </row>
    <row r="254" spans="1:8">
      <c r="A254" s="36"/>
      <c r="C254" s="36"/>
      <c r="D254" s="54"/>
      <c r="E254" s="36"/>
      <c r="G254" s="29"/>
      <c r="H254" s="29"/>
    </row>
    <row r="255" spans="1:8">
      <c r="A255" s="36"/>
      <c r="C255" s="36"/>
      <c r="D255" s="54"/>
      <c r="E255" s="36"/>
      <c r="G255" s="29"/>
      <c r="H255" s="29"/>
    </row>
    <row r="256" spans="1:8">
      <c r="A256" s="36"/>
      <c r="C256" s="36"/>
      <c r="D256" s="54"/>
      <c r="E256" s="36"/>
      <c r="G256" s="29"/>
      <c r="H256" s="29"/>
    </row>
    <row r="257" spans="1:8">
      <c r="A257" s="36"/>
      <c r="C257" s="36"/>
      <c r="D257" s="54"/>
      <c r="E257" s="36"/>
      <c r="G257" s="29"/>
      <c r="H257" s="29"/>
    </row>
    <row r="258" spans="1:8">
      <c r="A258" s="36"/>
      <c r="C258" s="36"/>
      <c r="D258" s="54"/>
      <c r="E258" s="36"/>
      <c r="G258" s="29"/>
      <c r="H258" s="29"/>
    </row>
    <row r="259" spans="1:8">
      <c r="A259" s="36"/>
      <c r="C259" s="36"/>
      <c r="D259" s="54"/>
      <c r="E259" s="36"/>
      <c r="G259" s="29"/>
      <c r="H259" s="29"/>
    </row>
    <row r="260" spans="1:8">
      <c r="A260" s="36"/>
      <c r="C260" s="36"/>
      <c r="D260" s="54"/>
      <c r="E260" s="36"/>
      <c r="G260" s="29"/>
      <c r="H260" s="29"/>
    </row>
    <row r="261" spans="1:8">
      <c r="A261" s="36"/>
      <c r="C261" s="36"/>
      <c r="D261" s="54"/>
      <c r="E261" s="36"/>
      <c r="G261" s="29"/>
      <c r="H261" s="29"/>
    </row>
    <row r="262" spans="1:8">
      <c r="A262" s="36"/>
      <c r="C262" s="36"/>
      <c r="D262" s="54"/>
      <c r="E262" s="36"/>
      <c r="G262" s="29"/>
      <c r="H262" s="29"/>
    </row>
    <row r="263" spans="1:8">
      <c r="A263" s="36"/>
      <c r="C263" s="36"/>
      <c r="D263" s="54"/>
      <c r="E263" s="36"/>
      <c r="G263" s="29"/>
      <c r="H263" s="29"/>
    </row>
    <row r="264" spans="1:8">
      <c r="A264" s="36"/>
      <c r="C264" s="36"/>
      <c r="D264" s="54"/>
      <c r="E264" s="36"/>
      <c r="G264" s="29"/>
      <c r="H264" s="29"/>
    </row>
    <row r="265" spans="1:8">
      <c r="A265" s="36"/>
      <c r="C265" s="36"/>
      <c r="D265" s="54"/>
      <c r="E265" s="36"/>
      <c r="G265" s="29"/>
      <c r="H265" s="29"/>
    </row>
    <row r="266" spans="1:8">
      <c r="A266" s="36"/>
      <c r="C266" s="36"/>
      <c r="D266" s="54"/>
      <c r="E266" s="36"/>
      <c r="G266" s="29"/>
      <c r="H266" s="29"/>
    </row>
    <row r="267" spans="1:8">
      <c r="A267" s="36"/>
      <c r="C267" s="36"/>
      <c r="D267" s="54"/>
      <c r="E267" s="36"/>
      <c r="G267" s="29"/>
      <c r="H267" s="29"/>
    </row>
    <row r="268" spans="1:8">
      <c r="A268" s="36"/>
      <c r="C268" s="36"/>
      <c r="D268" s="54"/>
      <c r="E268" s="36"/>
      <c r="G268" s="29"/>
      <c r="H268" s="29"/>
    </row>
    <row r="269" spans="1:8">
      <c r="A269" s="36"/>
      <c r="C269" s="36"/>
      <c r="D269" s="54"/>
      <c r="E269" s="36"/>
      <c r="G269" s="29"/>
      <c r="H269" s="29"/>
    </row>
    <row r="270" spans="1:8">
      <c r="A270" s="36"/>
      <c r="C270" s="36"/>
      <c r="D270" s="54"/>
      <c r="E270" s="36"/>
      <c r="G270" s="29"/>
      <c r="H270" s="29"/>
    </row>
    <row r="271" spans="1:8">
      <c r="A271" s="36"/>
      <c r="C271" s="36"/>
      <c r="D271" s="54"/>
      <c r="E271" s="36"/>
      <c r="G271" s="29"/>
      <c r="H271" s="29"/>
    </row>
    <row r="272" spans="1:8">
      <c r="A272" s="36"/>
      <c r="C272" s="36"/>
      <c r="D272" s="54"/>
      <c r="E272" s="36"/>
      <c r="G272" s="29"/>
      <c r="H272" s="29"/>
    </row>
    <row r="273" spans="1:8">
      <c r="A273" s="36"/>
      <c r="C273" s="36"/>
      <c r="D273" s="54"/>
      <c r="E273" s="36"/>
      <c r="G273" s="29"/>
      <c r="H273" s="29"/>
    </row>
    <row r="274" spans="1:8">
      <c r="A274" s="36"/>
      <c r="C274" s="36"/>
      <c r="D274" s="54"/>
      <c r="E274" s="36"/>
      <c r="G274" s="29"/>
      <c r="H274" s="29"/>
    </row>
    <row r="275" spans="1:8">
      <c r="A275" s="36"/>
      <c r="C275" s="36"/>
      <c r="D275" s="54"/>
      <c r="E275" s="36"/>
      <c r="G275" s="29"/>
      <c r="H275" s="29"/>
    </row>
    <row r="276" spans="1:8">
      <c r="A276" s="36"/>
      <c r="C276" s="36"/>
      <c r="D276" s="54"/>
      <c r="E276" s="36"/>
      <c r="G276" s="29"/>
      <c r="H276" s="29"/>
    </row>
    <row r="277" spans="1:8">
      <c r="A277" s="36"/>
      <c r="C277" s="36"/>
      <c r="D277" s="54"/>
      <c r="E277" s="36"/>
      <c r="G277" s="29"/>
      <c r="H277" s="29"/>
    </row>
    <row r="278" spans="1:8">
      <c r="A278" s="36"/>
      <c r="C278" s="36"/>
      <c r="D278" s="54"/>
      <c r="E278" s="36"/>
      <c r="G278" s="29"/>
      <c r="H278" s="29"/>
    </row>
    <row r="279" spans="1:8">
      <c r="A279" s="36"/>
      <c r="C279" s="36"/>
      <c r="D279" s="54"/>
      <c r="E279" s="36"/>
      <c r="G279" s="29"/>
      <c r="H279" s="29"/>
    </row>
    <row r="280" spans="1:8">
      <c r="A280" s="36"/>
      <c r="C280" s="36"/>
      <c r="D280" s="54"/>
      <c r="E280" s="36"/>
      <c r="G280" s="29"/>
      <c r="H280" s="29"/>
    </row>
    <row r="281" spans="1:8">
      <c r="A281" s="36"/>
      <c r="C281" s="36"/>
      <c r="D281" s="54"/>
      <c r="E281" s="36"/>
      <c r="G281" s="29"/>
      <c r="H281" s="29"/>
    </row>
    <row r="282" spans="1:8">
      <c r="A282" s="36"/>
      <c r="C282" s="36"/>
      <c r="D282" s="54"/>
      <c r="E282" s="36"/>
      <c r="G282" s="29"/>
      <c r="H282" s="29"/>
    </row>
    <row r="283" spans="1:8">
      <c r="A283" s="36"/>
      <c r="C283" s="36"/>
      <c r="D283" s="54"/>
      <c r="E283" s="36"/>
      <c r="G283" s="29"/>
      <c r="H283" s="29"/>
    </row>
    <row r="284" spans="1:8">
      <c r="A284" s="36"/>
      <c r="C284" s="36"/>
      <c r="D284" s="54"/>
      <c r="E284" s="36"/>
      <c r="G284" s="29"/>
      <c r="H284" s="29"/>
    </row>
    <row r="285" spans="1:8">
      <c r="A285" s="36"/>
      <c r="C285" s="36"/>
      <c r="D285" s="54"/>
      <c r="E285" s="36"/>
      <c r="G285" s="29"/>
      <c r="H285" s="29"/>
    </row>
    <row r="286" spans="1:8">
      <c r="A286" s="36"/>
      <c r="C286" s="36"/>
      <c r="D286" s="54"/>
      <c r="E286" s="36"/>
      <c r="G286" s="29"/>
      <c r="H286" s="29"/>
    </row>
    <row r="287" spans="1:8">
      <c r="A287" s="36"/>
      <c r="C287" s="36"/>
      <c r="D287" s="54"/>
      <c r="E287" s="36"/>
      <c r="G287" s="29"/>
      <c r="H287" s="29"/>
    </row>
    <row r="288" spans="1:8">
      <c r="A288" s="36"/>
      <c r="C288" s="36"/>
      <c r="D288" s="54"/>
      <c r="E288" s="36"/>
      <c r="G288" s="29"/>
      <c r="H288" s="29"/>
    </row>
    <row r="289" spans="1:8">
      <c r="A289" s="36"/>
      <c r="C289" s="36"/>
      <c r="D289" s="54"/>
      <c r="E289" s="36"/>
      <c r="G289" s="29"/>
      <c r="H289" s="29"/>
    </row>
    <row r="290" spans="1:8">
      <c r="A290" s="36"/>
      <c r="C290" s="36"/>
      <c r="D290" s="54"/>
      <c r="E290" s="36"/>
      <c r="G290" s="29"/>
      <c r="H290" s="29"/>
    </row>
    <row r="291" spans="1:8">
      <c r="A291" s="36"/>
      <c r="C291" s="36"/>
      <c r="D291" s="54"/>
      <c r="E291" s="36"/>
      <c r="G291" s="29"/>
      <c r="H291" s="29"/>
    </row>
    <row r="292" spans="1:8">
      <c r="A292" s="36"/>
      <c r="C292" s="36"/>
      <c r="D292" s="54"/>
      <c r="E292" s="36"/>
      <c r="G292" s="29"/>
      <c r="H292" s="29"/>
    </row>
    <row r="293" spans="1:8">
      <c r="A293" s="36"/>
      <c r="C293" s="36"/>
      <c r="D293" s="54"/>
      <c r="E293" s="36"/>
      <c r="G293" s="29"/>
      <c r="H293" s="29"/>
    </row>
    <row r="294" spans="1:8">
      <c r="A294" s="36"/>
      <c r="C294" s="36"/>
      <c r="D294" s="54"/>
      <c r="E294" s="36"/>
      <c r="G294" s="29"/>
      <c r="H294" s="29"/>
    </row>
    <row r="295" spans="1:8">
      <c r="A295" s="36"/>
      <c r="C295" s="36"/>
      <c r="D295" s="54"/>
      <c r="E295" s="36"/>
      <c r="G295" s="29"/>
      <c r="H295" s="29"/>
    </row>
    <row r="296" spans="1:8">
      <c r="A296" s="36"/>
      <c r="C296" s="36"/>
      <c r="D296" s="54"/>
      <c r="E296" s="36"/>
      <c r="G296" s="29"/>
      <c r="H296" s="29"/>
    </row>
    <row r="297" spans="1:8">
      <c r="A297" s="36"/>
      <c r="C297" s="36"/>
      <c r="D297" s="54"/>
      <c r="E297" s="36"/>
      <c r="G297" s="29"/>
      <c r="H297" s="29"/>
    </row>
    <row r="298" spans="1:8">
      <c r="A298" s="36"/>
      <c r="C298" s="36"/>
      <c r="D298" s="54"/>
      <c r="E298" s="36"/>
      <c r="G298" s="29"/>
      <c r="H298" s="29"/>
    </row>
    <row r="299" spans="1:8">
      <c r="A299" s="36"/>
      <c r="C299" s="36"/>
      <c r="D299" s="54"/>
      <c r="E299" s="36"/>
      <c r="G299" s="29"/>
      <c r="H299" s="29"/>
    </row>
    <row r="300" spans="1:8">
      <c r="A300" s="36"/>
      <c r="C300" s="36"/>
      <c r="D300" s="54"/>
      <c r="E300" s="36"/>
      <c r="G300" s="29"/>
      <c r="H300" s="29"/>
    </row>
    <row r="301" spans="1:8">
      <c r="A301" s="36"/>
      <c r="C301" s="36"/>
      <c r="D301" s="54"/>
      <c r="E301" s="36"/>
      <c r="G301" s="29"/>
      <c r="H301" s="29"/>
    </row>
    <row r="302" spans="1:8">
      <c r="A302" s="36"/>
      <c r="C302" s="36"/>
      <c r="D302" s="54"/>
      <c r="E302" s="36"/>
      <c r="G302" s="29"/>
      <c r="H302" s="29"/>
    </row>
    <row r="303" spans="1:8">
      <c r="A303" s="36"/>
      <c r="C303" s="36"/>
      <c r="D303" s="54"/>
      <c r="E303" s="36"/>
      <c r="G303" s="29"/>
      <c r="H303" s="29"/>
    </row>
    <row r="304" spans="1:8">
      <c r="A304" s="36"/>
      <c r="C304" s="36"/>
      <c r="D304" s="54"/>
      <c r="E304" s="36"/>
      <c r="G304" s="29"/>
      <c r="H304" s="29"/>
    </row>
    <row r="305" spans="1:8">
      <c r="A305" s="36"/>
      <c r="C305" s="36"/>
      <c r="D305" s="54"/>
      <c r="E305" s="36"/>
      <c r="G305" s="29"/>
      <c r="H305" s="29"/>
    </row>
    <row r="306" spans="1:8">
      <c r="A306" s="36"/>
      <c r="C306" s="36"/>
      <c r="D306" s="54"/>
      <c r="E306" s="36"/>
      <c r="G306" s="29"/>
      <c r="H306" s="29"/>
    </row>
    <row r="307" spans="1:8">
      <c r="A307" s="36"/>
      <c r="C307" s="36"/>
      <c r="D307" s="54"/>
      <c r="E307" s="36"/>
      <c r="G307" s="29"/>
      <c r="H307" s="29"/>
    </row>
    <row r="308" spans="1:8">
      <c r="A308" s="36"/>
      <c r="C308" s="36"/>
      <c r="D308" s="54"/>
      <c r="E308" s="36"/>
      <c r="G308" s="29"/>
      <c r="H308" s="29"/>
    </row>
    <row r="309" spans="1:8">
      <c r="A309" s="36"/>
      <c r="C309" s="36"/>
      <c r="D309" s="54"/>
      <c r="E309" s="36"/>
      <c r="G309" s="29"/>
      <c r="H309" s="29"/>
    </row>
    <row r="310" spans="1:8">
      <c r="A310" s="36"/>
      <c r="C310" s="36"/>
      <c r="D310" s="54"/>
      <c r="E310" s="36"/>
      <c r="G310" s="29"/>
      <c r="H310" s="29"/>
    </row>
    <row r="311" spans="1:8">
      <c r="A311" s="36"/>
      <c r="C311" s="36"/>
      <c r="D311" s="54"/>
      <c r="E311" s="36"/>
      <c r="G311" s="29"/>
      <c r="H311" s="29"/>
    </row>
    <row r="312" spans="1:8">
      <c r="A312" s="36"/>
      <c r="C312" s="36"/>
      <c r="D312" s="54"/>
      <c r="E312" s="36"/>
      <c r="G312" s="29"/>
      <c r="H312" s="29"/>
    </row>
    <row r="313" spans="1:8">
      <c r="A313" s="36"/>
      <c r="C313" s="36"/>
      <c r="D313" s="54"/>
      <c r="E313" s="36"/>
      <c r="G313" s="29"/>
      <c r="H313" s="29"/>
    </row>
    <row r="314" spans="1:8">
      <c r="A314" s="36"/>
      <c r="C314" s="36"/>
      <c r="D314" s="54"/>
      <c r="E314" s="36"/>
      <c r="G314" s="29"/>
      <c r="H314" s="29"/>
    </row>
    <row r="315" spans="1:8">
      <c r="A315" s="36"/>
      <c r="C315" s="36"/>
      <c r="D315" s="54"/>
      <c r="E315" s="36"/>
      <c r="G315" s="29"/>
      <c r="H315" s="29"/>
    </row>
    <row r="316" spans="1:8">
      <c r="A316" s="36"/>
      <c r="C316" s="36"/>
      <c r="D316" s="54"/>
      <c r="E316" s="36"/>
      <c r="G316" s="29"/>
      <c r="H316" s="29"/>
    </row>
    <row r="317" spans="1:8">
      <c r="A317" s="36"/>
      <c r="C317" s="36"/>
      <c r="D317" s="54"/>
      <c r="E317" s="36"/>
      <c r="G317" s="29"/>
      <c r="H317" s="29"/>
    </row>
    <row r="318" spans="1:8">
      <c r="A318" s="36"/>
      <c r="C318" s="36"/>
      <c r="D318" s="54"/>
      <c r="E318" s="36"/>
      <c r="G318" s="29"/>
      <c r="H318" s="29"/>
    </row>
    <row r="319" spans="1:8">
      <c r="A319" s="36"/>
      <c r="C319" s="36"/>
      <c r="D319" s="54"/>
      <c r="E319" s="36"/>
      <c r="G319" s="29"/>
      <c r="H319" s="29"/>
    </row>
    <row r="320" spans="1:8">
      <c r="A320" s="36"/>
      <c r="C320" s="36"/>
      <c r="D320" s="54"/>
      <c r="E320" s="36"/>
      <c r="G320" s="29"/>
      <c r="H320" s="29"/>
    </row>
    <row r="321" spans="1:8">
      <c r="A321" s="36"/>
      <c r="C321" s="36"/>
      <c r="D321" s="54"/>
      <c r="E321" s="36"/>
      <c r="G321" s="29"/>
      <c r="H321" s="29"/>
    </row>
    <row r="322" spans="1:8">
      <c r="A322" s="36"/>
      <c r="C322" s="36"/>
      <c r="D322" s="54"/>
      <c r="E322" s="36"/>
      <c r="G322" s="29"/>
      <c r="H322" s="29"/>
    </row>
    <row r="323" spans="1:8">
      <c r="A323" s="36"/>
      <c r="C323" s="36"/>
      <c r="D323" s="54"/>
      <c r="E323" s="36"/>
      <c r="G323" s="29"/>
      <c r="H323" s="29"/>
    </row>
    <row r="324" spans="1:8">
      <c r="A324" s="36"/>
      <c r="C324" s="36"/>
      <c r="D324" s="54"/>
      <c r="E324" s="36"/>
      <c r="G324" s="29"/>
      <c r="H324" s="29"/>
    </row>
    <row r="325" spans="1:8">
      <c r="A325" s="36"/>
      <c r="C325" s="36"/>
      <c r="D325" s="54"/>
      <c r="E325" s="36"/>
      <c r="G325" s="29"/>
      <c r="H325" s="29"/>
    </row>
    <row r="326" spans="1:8">
      <c r="A326" s="36"/>
      <c r="C326" s="36"/>
      <c r="D326" s="54"/>
      <c r="E326" s="36"/>
      <c r="G326" s="29"/>
      <c r="H326" s="29"/>
    </row>
    <row r="327" spans="1:8">
      <c r="A327" s="36"/>
      <c r="C327" s="36"/>
      <c r="D327" s="54"/>
      <c r="E327" s="36"/>
      <c r="G327" s="29"/>
      <c r="H327" s="29"/>
    </row>
    <row r="328" spans="1:8">
      <c r="A328" s="36"/>
      <c r="C328" s="36"/>
      <c r="D328" s="54"/>
      <c r="E328" s="36"/>
      <c r="G328" s="29"/>
      <c r="H328" s="29"/>
    </row>
    <row r="329" spans="1:8">
      <c r="A329" s="36"/>
      <c r="C329" s="36"/>
      <c r="D329" s="54"/>
      <c r="E329" s="36"/>
      <c r="G329" s="29"/>
      <c r="H329" s="29"/>
    </row>
    <row r="330" spans="1:8">
      <c r="A330" s="36"/>
      <c r="C330" s="36"/>
      <c r="D330" s="54"/>
      <c r="E330" s="36"/>
      <c r="G330" s="29"/>
      <c r="H330" s="29"/>
    </row>
    <row r="331" spans="1:8">
      <c r="A331" s="36"/>
      <c r="C331" s="36"/>
      <c r="D331" s="54"/>
      <c r="E331" s="36"/>
      <c r="G331" s="29"/>
      <c r="H331" s="29"/>
    </row>
    <row r="332" spans="1:8">
      <c r="A332" s="36"/>
      <c r="C332" s="36"/>
      <c r="D332" s="54"/>
      <c r="E332" s="36"/>
      <c r="G332" s="29"/>
      <c r="H332" s="29"/>
    </row>
    <row r="333" spans="1:8">
      <c r="A333" s="36"/>
      <c r="C333" s="36"/>
      <c r="D333" s="54"/>
      <c r="E333" s="36"/>
      <c r="G333" s="29"/>
      <c r="H333" s="29"/>
    </row>
    <row r="334" spans="1:8">
      <c r="A334" s="36"/>
      <c r="C334" s="36"/>
      <c r="D334" s="54"/>
      <c r="E334" s="36"/>
      <c r="G334" s="29"/>
      <c r="H334" s="29"/>
    </row>
    <row r="335" spans="1:8">
      <c r="A335" s="36"/>
      <c r="C335" s="36"/>
      <c r="D335" s="54"/>
      <c r="E335" s="36"/>
      <c r="G335" s="29"/>
      <c r="H335" s="29"/>
    </row>
    <row r="336" spans="1:8">
      <c r="A336" s="36"/>
      <c r="C336" s="36"/>
      <c r="D336" s="54"/>
      <c r="E336" s="36"/>
      <c r="G336" s="29"/>
      <c r="H336" s="29"/>
    </row>
    <row r="337" spans="1:8">
      <c r="A337" s="36"/>
      <c r="C337" s="36"/>
      <c r="D337" s="54"/>
      <c r="E337" s="36"/>
      <c r="G337" s="29"/>
      <c r="H337" s="29"/>
    </row>
    <row r="338" spans="1:8">
      <c r="A338" s="36"/>
      <c r="C338" s="36"/>
      <c r="D338" s="54"/>
      <c r="E338" s="36"/>
      <c r="G338" s="29"/>
      <c r="H338" s="29"/>
    </row>
    <row r="339" spans="1:8">
      <c r="A339" s="36"/>
      <c r="C339" s="36"/>
      <c r="D339" s="54"/>
      <c r="E339" s="36"/>
      <c r="G339" s="29"/>
      <c r="H339" s="29"/>
    </row>
    <row r="340" spans="1:8">
      <c r="A340" s="36"/>
      <c r="C340" s="36"/>
      <c r="D340" s="54"/>
      <c r="E340" s="36"/>
      <c r="G340" s="29"/>
      <c r="H340" s="29"/>
    </row>
    <row r="341" spans="1:8">
      <c r="A341" s="36"/>
      <c r="C341" s="36"/>
      <c r="D341" s="54"/>
      <c r="E341" s="36"/>
      <c r="G341" s="29"/>
      <c r="H341" s="29"/>
    </row>
    <row r="342" spans="1:8">
      <c r="A342" s="36"/>
      <c r="C342" s="36"/>
      <c r="D342" s="54"/>
      <c r="E342" s="36"/>
      <c r="G342" s="29"/>
      <c r="H342" s="29"/>
    </row>
    <row r="343" spans="1:8">
      <c r="A343" s="36"/>
      <c r="C343" s="36"/>
      <c r="D343" s="54"/>
      <c r="E343" s="36"/>
      <c r="G343" s="29"/>
      <c r="H343" s="29"/>
    </row>
    <row r="344" spans="1:8">
      <c r="A344" s="36"/>
      <c r="C344" s="36"/>
      <c r="D344" s="54"/>
      <c r="E344" s="36"/>
      <c r="G344" s="29"/>
      <c r="H344" s="29"/>
    </row>
    <row r="345" spans="1:8">
      <c r="A345" s="36"/>
      <c r="C345" s="36"/>
      <c r="D345" s="54"/>
      <c r="E345" s="36"/>
      <c r="G345" s="29"/>
      <c r="H345" s="29"/>
    </row>
    <row r="346" spans="1:8">
      <c r="A346" s="36"/>
      <c r="C346" s="36"/>
      <c r="D346" s="54"/>
      <c r="E346" s="36"/>
      <c r="G346" s="29"/>
      <c r="H346" s="29"/>
    </row>
    <row r="347" spans="1:8">
      <c r="A347" s="36"/>
      <c r="C347" s="36"/>
      <c r="D347" s="54"/>
      <c r="E347" s="36"/>
      <c r="G347" s="29"/>
      <c r="H347" s="29"/>
    </row>
    <row r="348" spans="1:8">
      <c r="A348" s="36"/>
      <c r="C348" s="36"/>
      <c r="D348" s="54"/>
      <c r="E348" s="36"/>
      <c r="G348" s="29"/>
      <c r="H348" s="29"/>
    </row>
    <row r="349" spans="1:8">
      <c r="A349" s="36"/>
      <c r="C349" s="36"/>
      <c r="D349" s="54"/>
      <c r="E349" s="36"/>
      <c r="G349" s="29"/>
      <c r="H349" s="29"/>
    </row>
    <row r="350" spans="1:8">
      <c r="A350" s="36"/>
      <c r="C350" s="36"/>
      <c r="D350" s="54"/>
      <c r="E350" s="36"/>
      <c r="G350" s="29"/>
      <c r="H350" s="29"/>
    </row>
    <row r="351" spans="1:8">
      <c r="A351" s="36"/>
      <c r="C351" s="36"/>
      <c r="D351" s="54"/>
      <c r="E351" s="36"/>
      <c r="G351" s="29"/>
      <c r="H351" s="29"/>
    </row>
    <row r="352" spans="1:8">
      <c r="A352" s="36"/>
      <c r="C352" s="36"/>
      <c r="D352" s="54"/>
      <c r="E352" s="36"/>
      <c r="G352" s="29"/>
      <c r="H352" s="29"/>
    </row>
    <row r="353" spans="1:8">
      <c r="A353" s="36"/>
      <c r="C353" s="36"/>
      <c r="D353" s="54"/>
      <c r="E353" s="36"/>
      <c r="G353" s="29"/>
      <c r="H353" s="29"/>
    </row>
    <row r="354" spans="1:8">
      <c r="A354" s="36"/>
      <c r="C354" s="36"/>
      <c r="D354" s="54"/>
      <c r="E354" s="36"/>
      <c r="G354" s="29"/>
      <c r="H354" s="29"/>
    </row>
    <row r="355" spans="1:8">
      <c r="A355" s="36"/>
      <c r="C355" s="36"/>
      <c r="D355" s="54"/>
      <c r="E355" s="36"/>
      <c r="G355" s="29"/>
      <c r="H355" s="29"/>
    </row>
    <row r="356" spans="1:8">
      <c r="A356" s="36"/>
      <c r="C356" s="36"/>
      <c r="D356" s="54"/>
      <c r="E356" s="36"/>
      <c r="G356" s="29"/>
      <c r="H356" s="29"/>
    </row>
    <row r="357" spans="1:8">
      <c r="A357" s="36"/>
      <c r="C357" s="36"/>
      <c r="D357" s="54"/>
      <c r="E357" s="36"/>
      <c r="G357" s="29"/>
      <c r="H357" s="29"/>
    </row>
    <row r="358" spans="1:8">
      <c r="A358" s="36"/>
      <c r="C358" s="36"/>
      <c r="D358" s="54"/>
      <c r="E358" s="36"/>
      <c r="G358" s="29"/>
      <c r="H358" s="29"/>
    </row>
    <row r="359" spans="1:8">
      <c r="A359" s="36"/>
      <c r="C359" s="36"/>
      <c r="D359" s="54"/>
      <c r="E359" s="36"/>
      <c r="G359" s="29"/>
      <c r="H359" s="29"/>
    </row>
    <row r="360" spans="1:8">
      <c r="A360" s="36"/>
      <c r="C360" s="36"/>
      <c r="D360" s="54"/>
      <c r="E360" s="36"/>
      <c r="G360" s="29"/>
      <c r="H360" s="29"/>
    </row>
    <row r="361" spans="1:8">
      <c r="A361" s="36"/>
      <c r="C361" s="36"/>
      <c r="D361" s="54"/>
      <c r="E361" s="36"/>
      <c r="G361" s="29"/>
      <c r="H361" s="29"/>
    </row>
    <row r="362" spans="1:8">
      <c r="A362" s="36"/>
      <c r="C362" s="36"/>
      <c r="D362" s="54"/>
      <c r="E362" s="36"/>
      <c r="G362" s="29"/>
      <c r="H362" s="29"/>
    </row>
    <row r="363" spans="1:8">
      <c r="A363" s="36"/>
      <c r="C363" s="36"/>
      <c r="D363" s="54"/>
      <c r="E363" s="36"/>
      <c r="G363" s="29"/>
      <c r="H363" s="29"/>
    </row>
    <row r="364" spans="1:8">
      <c r="A364" s="36"/>
      <c r="C364" s="36"/>
      <c r="D364" s="54"/>
      <c r="E364" s="36"/>
      <c r="G364" s="29"/>
      <c r="H364" s="29"/>
    </row>
    <row r="365" spans="1:8">
      <c r="A365" s="36"/>
      <c r="C365" s="36"/>
      <c r="D365" s="54"/>
      <c r="E365" s="36"/>
      <c r="G365" s="29"/>
      <c r="H365" s="29"/>
    </row>
    <row r="366" spans="1:8">
      <c r="A366" s="36"/>
      <c r="C366" s="36"/>
      <c r="D366" s="54"/>
      <c r="E366" s="36"/>
      <c r="G366" s="29"/>
      <c r="H366" s="29"/>
    </row>
    <row r="367" spans="1:8">
      <c r="A367" s="36"/>
      <c r="C367" s="36"/>
      <c r="D367" s="54"/>
      <c r="E367" s="36"/>
      <c r="G367" s="29"/>
      <c r="H367" s="29"/>
    </row>
    <row r="368" spans="1:8">
      <c r="A368" s="36"/>
      <c r="C368" s="36"/>
      <c r="D368" s="54"/>
      <c r="E368" s="36"/>
      <c r="G368" s="29"/>
      <c r="H368" s="29"/>
    </row>
    <row r="369" spans="1:8">
      <c r="A369" s="36"/>
      <c r="C369" s="36"/>
      <c r="D369" s="54"/>
      <c r="E369" s="36"/>
      <c r="G369" s="29"/>
      <c r="H369" s="29"/>
    </row>
    <row r="370" spans="1:8">
      <c r="A370" s="36"/>
      <c r="C370" s="36"/>
      <c r="D370" s="54"/>
      <c r="E370" s="36"/>
      <c r="G370" s="29"/>
      <c r="H370" s="29"/>
    </row>
    <row r="371" spans="1:8">
      <c r="A371" s="36"/>
      <c r="C371" s="36"/>
      <c r="D371" s="54"/>
      <c r="E371" s="36"/>
      <c r="G371" s="29"/>
      <c r="H371" s="29"/>
    </row>
    <row r="372" spans="1:8">
      <c r="A372" s="36"/>
      <c r="C372" s="36"/>
      <c r="D372" s="54"/>
      <c r="E372" s="36"/>
      <c r="G372" s="29"/>
      <c r="H372" s="29"/>
    </row>
    <row r="373" spans="1:8">
      <c r="A373" s="36"/>
      <c r="C373" s="36"/>
      <c r="D373" s="54"/>
      <c r="E373" s="36"/>
      <c r="G373" s="29"/>
      <c r="H373" s="29"/>
    </row>
    <row r="374" spans="1:8">
      <c r="A374" s="36"/>
      <c r="C374" s="36"/>
      <c r="D374" s="54"/>
      <c r="E374" s="36"/>
      <c r="G374" s="29"/>
      <c r="H374" s="29"/>
    </row>
    <row r="375" spans="1:8">
      <c r="A375" s="36"/>
      <c r="C375" s="36"/>
      <c r="D375" s="54"/>
      <c r="E375" s="36"/>
      <c r="G375" s="29"/>
      <c r="H375" s="29"/>
    </row>
    <row r="376" spans="1:8">
      <c r="A376" s="36"/>
      <c r="C376" s="36"/>
      <c r="D376" s="54"/>
      <c r="E376" s="36"/>
      <c r="G376" s="29"/>
      <c r="H376" s="29"/>
    </row>
    <row r="377" spans="1:8">
      <c r="A377" s="36"/>
      <c r="C377" s="36"/>
      <c r="D377" s="54"/>
      <c r="E377" s="36"/>
      <c r="G377" s="29"/>
      <c r="H377" s="29"/>
    </row>
    <row r="378" spans="1:8">
      <c r="A378" s="36"/>
      <c r="C378" s="36"/>
      <c r="D378" s="54"/>
      <c r="E378" s="36"/>
      <c r="G378" s="29"/>
      <c r="H378" s="29"/>
    </row>
    <row r="379" spans="1:8">
      <c r="A379" s="36"/>
      <c r="C379" s="36"/>
      <c r="D379" s="54"/>
      <c r="E379" s="36"/>
      <c r="G379" s="29"/>
      <c r="H379" s="29"/>
    </row>
    <row r="380" spans="1:8">
      <c r="A380" s="36"/>
      <c r="C380" s="36"/>
      <c r="D380" s="54"/>
      <c r="E380" s="36"/>
      <c r="G380" s="29"/>
      <c r="H380" s="29"/>
    </row>
    <row r="381" spans="1:8">
      <c r="A381" s="36"/>
      <c r="C381" s="36"/>
      <c r="D381" s="54"/>
      <c r="E381" s="36"/>
      <c r="G381" s="29"/>
      <c r="H381" s="29"/>
    </row>
    <row r="382" spans="1:8">
      <c r="A382" s="36"/>
      <c r="C382" s="36"/>
      <c r="D382" s="54"/>
      <c r="E382" s="36"/>
      <c r="G382" s="29"/>
      <c r="H382" s="29"/>
    </row>
    <row r="383" spans="1:8">
      <c r="A383" s="36"/>
      <c r="C383" s="36"/>
      <c r="D383" s="54"/>
      <c r="E383" s="36"/>
      <c r="G383" s="29"/>
      <c r="H383" s="29"/>
    </row>
    <row r="384" spans="1:8">
      <c r="A384" s="36"/>
      <c r="C384" s="36"/>
      <c r="D384" s="54"/>
      <c r="E384" s="36"/>
      <c r="G384" s="29"/>
      <c r="H384" s="29"/>
    </row>
    <row r="385" spans="1:8">
      <c r="A385" s="36"/>
      <c r="C385" s="36"/>
      <c r="D385" s="54"/>
      <c r="E385" s="36"/>
      <c r="G385" s="29"/>
      <c r="H385" s="29"/>
    </row>
    <row r="386" spans="1:8">
      <c r="A386" s="36"/>
      <c r="C386" s="36"/>
      <c r="D386" s="54"/>
      <c r="E386" s="36"/>
      <c r="G386" s="29"/>
      <c r="H386" s="29"/>
    </row>
    <row r="387" spans="1:8">
      <c r="A387" s="36"/>
      <c r="C387" s="36"/>
      <c r="D387" s="54"/>
      <c r="E387" s="36"/>
      <c r="G387" s="29"/>
      <c r="H387" s="29"/>
    </row>
    <row r="388" spans="1:8">
      <c r="A388" s="36"/>
      <c r="C388" s="36"/>
      <c r="D388" s="54"/>
      <c r="E388" s="36"/>
      <c r="G388" s="29"/>
      <c r="H388" s="29"/>
    </row>
    <row r="389" spans="1:8">
      <c r="A389" s="36"/>
      <c r="C389" s="36"/>
      <c r="D389" s="54"/>
      <c r="E389" s="36"/>
      <c r="G389" s="29"/>
      <c r="H389" s="29"/>
    </row>
    <row r="390" spans="1:8">
      <c r="A390" s="36"/>
      <c r="C390" s="36"/>
      <c r="D390" s="54"/>
      <c r="E390" s="36"/>
      <c r="G390" s="29"/>
      <c r="H390" s="29"/>
    </row>
    <row r="391" spans="1:8">
      <c r="A391" s="36"/>
      <c r="C391" s="36"/>
      <c r="D391" s="54"/>
      <c r="E391" s="36"/>
      <c r="G391" s="29"/>
      <c r="H391" s="29"/>
    </row>
    <row r="392" spans="1:8">
      <c r="A392" s="36"/>
      <c r="C392" s="36"/>
      <c r="D392" s="54"/>
      <c r="E392" s="36"/>
      <c r="G392" s="29"/>
      <c r="H392" s="29"/>
    </row>
    <row r="393" spans="1:8">
      <c r="A393" s="36"/>
      <c r="C393" s="36"/>
      <c r="D393" s="54"/>
      <c r="E393" s="36"/>
      <c r="G393" s="29"/>
      <c r="H393" s="29"/>
    </row>
    <row r="394" spans="1:8">
      <c r="A394" s="36"/>
      <c r="C394" s="36"/>
      <c r="D394" s="54"/>
      <c r="E394" s="36"/>
      <c r="G394" s="29"/>
      <c r="H394" s="29"/>
    </row>
    <row r="395" spans="1:8">
      <c r="A395" s="36"/>
      <c r="C395" s="36"/>
      <c r="D395" s="54"/>
      <c r="E395" s="36"/>
      <c r="G395" s="29"/>
      <c r="H395" s="29"/>
    </row>
    <row r="396" spans="1:8">
      <c r="A396" s="36"/>
      <c r="C396" s="36"/>
      <c r="D396" s="54"/>
      <c r="E396" s="36"/>
      <c r="G396" s="29"/>
      <c r="H396" s="29"/>
    </row>
    <row r="397" spans="1:8">
      <c r="A397" s="36"/>
      <c r="C397" s="36"/>
      <c r="D397" s="54"/>
      <c r="E397" s="36"/>
      <c r="G397" s="29"/>
      <c r="H397" s="29"/>
    </row>
    <row r="398" spans="1:8">
      <c r="A398" s="36"/>
      <c r="C398" s="36"/>
      <c r="D398" s="54"/>
      <c r="E398" s="36"/>
      <c r="G398" s="29"/>
      <c r="H398" s="29"/>
    </row>
    <row r="399" spans="1:8">
      <c r="A399" s="36"/>
      <c r="C399" s="36"/>
      <c r="D399" s="54"/>
      <c r="E399" s="36"/>
      <c r="G399" s="29"/>
      <c r="H399" s="29"/>
    </row>
    <row r="400" spans="1:8">
      <c r="A400" s="36"/>
      <c r="C400" s="36"/>
      <c r="D400" s="54"/>
      <c r="E400" s="36"/>
      <c r="G400" s="29"/>
      <c r="H400" s="29"/>
    </row>
    <row r="401" spans="1:8">
      <c r="A401" s="36"/>
      <c r="C401" s="36"/>
      <c r="D401" s="54"/>
      <c r="E401" s="36"/>
      <c r="G401" s="29"/>
      <c r="H401" s="29"/>
    </row>
    <row r="402" spans="1:8">
      <c r="A402" s="36"/>
      <c r="C402" s="36"/>
      <c r="D402" s="54"/>
      <c r="E402" s="36"/>
      <c r="G402" s="29"/>
      <c r="H402" s="29"/>
    </row>
    <row r="403" spans="1:8">
      <c r="A403" s="36"/>
      <c r="C403" s="36"/>
      <c r="D403" s="54"/>
      <c r="E403" s="36"/>
      <c r="G403" s="29"/>
      <c r="H403" s="29"/>
    </row>
    <row r="404" spans="1:8">
      <c r="A404" s="36"/>
      <c r="C404" s="36"/>
      <c r="D404" s="54"/>
      <c r="E404" s="36"/>
      <c r="G404" s="29"/>
      <c r="H404" s="29"/>
    </row>
    <row r="405" spans="1:8">
      <c r="A405" s="36"/>
      <c r="C405" s="36"/>
      <c r="D405" s="54"/>
      <c r="E405" s="36"/>
      <c r="G405" s="29"/>
      <c r="H405" s="29"/>
    </row>
    <row r="406" spans="1:8">
      <c r="A406" s="36"/>
      <c r="C406" s="36"/>
      <c r="D406" s="54"/>
      <c r="E406" s="36"/>
      <c r="G406" s="29"/>
      <c r="H406" s="29"/>
    </row>
    <row r="407" spans="1:8">
      <c r="A407" s="36"/>
      <c r="C407" s="36"/>
      <c r="D407" s="54"/>
      <c r="E407" s="36"/>
      <c r="G407" s="29"/>
      <c r="H407" s="29"/>
    </row>
    <row r="408" spans="1:8">
      <c r="A408" s="36"/>
      <c r="C408" s="36"/>
      <c r="D408" s="54"/>
      <c r="E408" s="36"/>
      <c r="G408" s="29"/>
      <c r="H408" s="29"/>
    </row>
    <row r="409" spans="1:8">
      <c r="A409" s="36"/>
      <c r="C409" s="36"/>
      <c r="D409" s="54"/>
      <c r="E409" s="36"/>
      <c r="G409" s="29"/>
      <c r="H409" s="29"/>
    </row>
    <row r="410" spans="1:8">
      <c r="A410" s="36"/>
      <c r="C410" s="36"/>
      <c r="D410" s="54"/>
      <c r="E410" s="36"/>
      <c r="G410" s="29"/>
      <c r="H410" s="29"/>
    </row>
    <row r="411" spans="1:8">
      <c r="A411" s="36"/>
      <c r="C411" s="36"/>
      <c r="D411" s="54"/>
      <c r="E411" s="36"/>
      <c r="G411" s="29"/>
      <c r="H411" s="29"/>
    </row>
    <row r="412" spans="1:8">
      <c r="A412" s="36"/>
      <c r="C412" s="36"/>
      <c r="D412" s="54"/>
      <c r="E412" s="36"/>
      <c r="G412" s="29"/>
      <c r="H412" s="29"/>
    </row>
    <row r="413" spans="1:8">
      <c r="A413" s="36"/>
      <c r="C413" s="36"/>
      <c r="D413" s="54"/>
      <c r="E413" s="36"/>
      <c r="G413" s="29"/>
      <c r="H413" s="29"/>
    </row>
    <row r="414" spans="1:8">
      <c r="A414" s="36"/>
      <c r="C414" s="36"/>
      <c r="D414" s="54"/>
      <c r="E414" s="36"/>
      <c r="G414" s="29"/>
      <c r="H414" s="29"/>
    </row>
    <row r="415" spans="1:8">
      <c r="A415" s="36"/>
      <c r="C415" s="36"/>
      <c r="D415" s="54"/>
      <c r="E415" s="36"/>
      <c r="G415" s="29"/>
      <c r="H415" s="29"/>
    </row>
    <row r="416" spans="1:8">
      <c r="A416" s="36"/>
      <c r="C416" s="36"/>
      <c r="D416" s="54"/>
      <c r="E416" s="36"/>
      <c r="G416" s="29"/>
      <c r="H416" s="29"/>
    </row>
    <row r="417" spans="1:8">
      <c r="A417" s="36"/>
      <c r="C417" s="36"/>
      <c r="D417" s="54"/>
      <c r="E417" s="36"/>
      <c r="G417" s="29"/>
      <c r="H417" s="29"/>
    </row>
    <row r="418" spans="1:8">
      <c r="A418" s="36"/>
      <c r="C418" s="36"/>
      <c r="D418" s="54"/>
      <c r="E418" s="36"/>
      <c r="G418" s="29"/>
      <c r="H418" s="29"/>
    </row>
    <row r="419" spans="1:8">
      <c r="A419" s="36"/>
      <c r="C419" s="36"/>
      <c r="D419" s="54"/>
      <c r="E419" s="36"/>
      <c r="G419" s="29"/>
      <c r="H419" s="29"/>
    </row>
    <row r="420" spans="1:8">
      <c r="A420" s="36"/>
      <c r="C420" s="36"/>
      <c r="D420" s="54"/>
      <c r="E420" s="36"/>
      <c r="G420" s="29"/>
      <c r="H420" s="29"/>
    </row>
    <row r="421" spans="1:8">
      <c r="A421" s="36"/>
      <c r="C421" s="36"/>
      <c r="D421" s="54"/>
      <c r="E421" s="36"/>
      <c r="G421" s="29"/>
      <c r="H421" s="29"/>
    </row>
    <row r="422" spans="1:8">
      <c r="A422" s="36"/>
      <c r="C422" s="36"/>
      <c r="D422" s="54"/>
      <c r="E422" s="36"/>
      <c r="G422" s="29"/>
      <c r="H422" s="29"/>
    </row>
    <row r="423" spans="1:8">
      <c r="A423" s="36"/>
      <c r="C423" s="36"/>
      <c r="D423" s="54"/>
      <c r="E423" s="36"/>
      <c r="G423" s="29"/>
      <c r="H423" s="29"/>
    </row>
    <row r="424" spans="1:8">
      <c r="A424" s="36"/>
      <c r="C424" s="36"/>
      <c r="D424" s="54"/>
      <c r="E424" s="36"/>
      <c r="G424" s="29"/>
      <c r="H424" s="29"/>
    </row>
    <row r="425" spans="1:8">
      <c r="A425" s="36"/>
      <c r="C425" s="36"/>
      <c r="D425" s="54"/>
      <c r="E425" s="36"/>
      <c r="G425" s="29"/>
      <c r="H425" s="29"/>
    </row>
    <row r="426" spans="1:8">
      <c r="A426" s="36"/>
      <c r="C426" s="36"/>
      <c r="D426" s="54"/>
      <c r="E426" s="36"/>
      <c r="G426" s="29"/>
      <c r="H426" s="29"/>
    </row>
    <row r="427" spans="1:8">
      <c r="A427" s="36"/>
      <c r="C427" s="36"/>
      <c r="D427" s="54"/>
      <c r="E427" s="36"/>
      <c r="G427" s="29"/>
      <c r="H427" s="29"/>
    </row>
    <row r="428" spans="1:8">
      <c r="A428" s="36"/>
      <c r="C428" s="36"/>
      <c r="D428" s="54"/>
      <c r="E428" s="36"/>
      <c r="G428" s="29"/>
      <c r="H428" s="29"/>
    </row>
    <row r="429" spans="1:8">
      <c r="A429" s="36"/>
      <c r="C429" s="36"/>
      <c r="D429" s="54"/>
      <c r="E429" s="36"/>
      <c r="G429" s="29"/>
      <c r="H429" s="29"/>
    </row>
    <row r="430" spans="1:8">
      <c r="A430" s="36"/>
      <c r="C430" s="36"/>
      <c r="D430" s="54"/>
      <c r="E430" s="36"/>
      <c r="G430" s="29"/>
      <c r="H430" s="29"/>
    </row>
    <row r="431" spans="1:8">
      <c r="A431" s="36"/>
      <c r="C431" s="36"/>
      <c r="D431" s="54"/>
      <c r="E431" s="36"/>
      <c r="G431" s="29"/>
      <c r="H431" s="29"/>
    </row>
    <row r="432" spans="1:8">
      <c r="A432" s="36"/>
      <c r="C432" s="36"/>
      <c r="D432" s="54"/>
      <c r="E432" s="36"/>
      <c r="G432" s="29"/>
      <c r="H432" s="29"/>
    </row>
    <row r="433" spans="1:8">
      <c r="A433" s="36"/>
      <c r="C433" s="36"/>
      <c r="D433" s="54"/>
      <c r="E433" s="36"/>
      <c r="G433" s="29"/>
      <c r="H433" s="29"/>
    </row>
    <row r="434" spans="1:8">
      <c r="A434" s="36"/>
      <c r="C434" s="36"/>
      <c r="D434" s="54"/>
      <c r="E434" s="36"/>
      <c r="G434" s="29"/>
      <c r="H434" s="29"/>
    </row>
    <row r="435" spans="1:8">
      <c r="A435" s="36"/>
      <c r="C435" s="36"/>
      <c r="D435" s="54"/>
      <c r="E435" s="36"/>
      <c r="G435" s="29"/>
      <c r="H435" s="29"/>
    </row>
    <row r="436" spans="1:8">
      <c r="A436" s="36"/>
      <c r="C436" s="36"/>
      <c r="D436" s="54"/>
      <c r="E436" s="36"/>
      <c r="G436" s="29"/>
      <c r="H436" s="29"/>
    </row>
    <row r="437" spans="1:8">
      <c r="A437" s="36"/>
      <c r="C437" s="36"/>
      <c r="D437" s="54"/>
      <c r="E437" s="36"/>
      <c r="G437" s="29"/>
      <c r="H437" s="29"/>
    </row>
    <row r="438" spans="1:8">
      <c r="A438" s="36"/>
      <c r="C438" s="36"/>
      <c r="D438" s="54"/>
      <c r="E438" s="36"/>
      <c r="G438" s="29"/>
      <c r="H438" s="29"/>
    </row>
    <row r="439" spans="1:8">
      <c r="A439" s="36"/>
      <c r="C439" s="36"/>
      <c r="D439" s="54"/>
      <c r="E439" s="36"/>
      <c r="G439" s="29"/>
      <c r="H439" s="29"/>
    </row>
    <row r="440" spans="1:8">
      <c r="A440" s="36"/>
      <c r="C440" s="36"/>
      <c r="D440" s="54"/>
      <c r="E440" s="36"/>
      <c r="G440" s="29"/>
      <c r="H440" s="29"/>
    </row>
    <row r="441" spans="1:8">
      <c r="A441" s="36"/>
      <c r="C441" s="36"/>
      <c r="D441" s="54"/>
      <c r="E441" s="36"/>
      <c r="G441" s="29"/>
      <c r="H441" s="29"/>
    </row>
    <row r="442" spans="1:8">
      <c r="A442" s="36"/>
      <c r="C442" s="36"/>
      <c r="D442" s="54"/>
      <c r="E442" s="36"/>
      <c r="G442" s="29"/>
      <c r="H442" s="29"/>
    </row>
    <row r="443" spans="1:8">
      <c r="A443" s="36"/>
      <c r="C443" s="36"/>
      <c r="D443" s="54"/>
      <c r="E443" s="36"/>
      <c r="G443" s="29"/>
      <c r="H443" s="29"/>
    </row>
    <row r="444" spans="1:8">
      <c r="A444" s="36"/>
      <c r="C444" s="36"/>
      <c r="D444" s="54"/>
      <c r="E444" s="36"/>
      <c r="G444" s="29"/>
      <c r="H444" s="29"/>
    </row>
    <row r="445" spans="1:8">
      <c r="A445" s="36"/>
      <c r="C445" s="36"/>
      <c r="D445" s="54"/>
      <c r="E445" s="36"/>
      <c r="G445" s="29"/>
      <c r="H445" s="29"/>
    </row>
    <row r="446" spans="1:8">
      <c r="A446" s="36"/>
      <c r="C446" s="36"/>
      <c r="D446" s="54"/>
      <c r="E446" s="36"/>
      <c r="G446" s="29"/>
      <c r="H446" s="29"/>
    </row>
    <row r="447" spans="1:8">
      <c r="A447" s="36"/>
      <c r="C447" s="36"/>
      <c r="D447" s="54"/>
      <c r="E447" s="36"/>
      <c r="G447" s="29"/>
      <c r="H447" s="29"/>
    </row>
    <row r="448" spans="1:8">
      <c r="A448" s="36"/>
      <c r="C448" s="36"/>
      <c r="D448" s="54"/>
      <c r="E448" s="36"/>
      <c r="G448" s="29"/>
      <c r="H448" s="29"/>
    </row>
    <row r="449" spans="1:8">
      <c r="A449" s="36"/>
      <c r="C449" s="36"/>
      <c r="D449" s="54"/>
      <c r="E449" s="36"/>
      <c r="G449" s="29"/>
      <c r="H449" s="29"/>
    </row>
    <row r="450" spans="1:8">
      <c r="A450" s="36"/>
      <c r="C450" s="36"/>
      <c r="D450" s="54"/>
      <c r="E450" s="36"/>
      <c r="G450" s="29"/>
      <c r="H450" s="29"/>
    </row>
    <row r="451" spans="1:8">
      <c r="A451" s="36"/>
      <c r="C451" s="36"/>
      <c r="D451" s="54"/>
      <c r="E451" s="36"/>
      <c r="G451" s="29"/>
      <c r="H451" s="29"/>
    </row>
    <row r="452" spans="1:8">
      <c r="A452" s="36"/>
      <c r="C452" s="36"/>
      <c r="D452" s="54"/>
      <c r="E452" s="36"/>
      <c r="G452" s="29"/>
      <c r="H452" s="29"/>
    </row>
    <row r="453" spans="1:8">
      <c r="A453" s="36"/>
      <c r="C453" s="36"/>
      <c r="D453" s="54"/>
      <c r="E453" s="36"/>
      <c r="G453" s="29"/>
      <c r="H453" s="29"/>
    </row>
    <row r="454" spans="1:8">
      <c r="A454" s="36"/>
      <c r="C454" s="36"/>
      <c r="D454" s="54"/>
      <c r="E454" s="36"/>
      <c r="G454" s="29"/>
      <c r="H454" s="29"/>
    </row>
    <row r="455" spans="1:8">
      <c r="A455" s="36"/>
      <c r="C455" s="36"/>
      <c r="D455" s="54"/>
      <c r="E455" s="36"/>
      <c r="G455" s="29"/>
      <c r="H455" s="29"/>
    </row>
    <row r="456" spans="1:8">
      <c r="A456" s="36"/>
      <c r="C456" s="36"/>
      <c r="D456" s="54"/>
      <c r="E456" s="36"/>
      <c r="G456" s="29"/>
      <c r="H456" s="29"/>
    </row>
    <row r="457" spans="1:8">
      <c r="A457" s="36"/>
      <c r="C457" s="36"/>
      <c r="D457" s="54"/>
      <c r="E457" s="36"/>
      <c r="G457" s="29"/>
      <c r="H457" s="29"/>
    </row>
    <row r="458" spans="1:8">
      <c r="A458" s="36"/>
      <c r="C458" s="36"/>
      <c r="D458" s="54"/>
      <c r="E458" s="36"/>
      <c r="G458" s="29"/>
      <c r="H458" s="29"/>
    </row>
    <row r="459" spans="1:8">
      <c r="A459" s="36"/>
      <c r="C459" s="36"/>
      <c r="D459" s="54"/>
      <c r="E459" s="36"/>
      <c r="G459" s="29"/>
      <c r="H459" s="29"/>
    </row>
    <row r="460" spans="1:8">
      <c r="A460" s="36"/>
      <c r="C460" s="36"/>
      <c r="D460" s="54"/>
      <c r="E460" s="36"/>
      <c r="G460" s="29"/>
      <c r="H460" s="29"/>
    </row>
    <row r="461" spans="1:8">
      <c r="A461" s="36"/>
      <c r="C461" s="36"/>
      <c r="D461" s="54"/>
      <c r="E461" s="36"/>
      <c r="G461" s="29"/>
      <c r="H461" s="29"/>
    </row>
    <row r="462" spans="1:8">
      <c r="A462" s="36"/>
      <c r="C462" s="36"/>
      <c r="D462" s="54"/>
      <c r="E462" s="36"/>
      <c r="G462" s="29"/>
      <c r="H462" s="29"/>
    </row>
    <row r="463" spans="1:8">
      <c r="A463" s="36"/>
      <c r="C463" s="36"/>
      <c r="D463" s="54"/>
      <c r="E463" s="36"/>
      <c r="G463" s="29"/>
      <c r="H463" s="29"/>
    </row>
    <row r="464" spans="1:8">
      <c r="A464" s="36"/>
      <c r="C464" s="36"/>
      <c r="D464" s="54"/>
      <c r="E464" s="36"/>
      <c r="G464" s="29"/>
      <c r="H464" s="29"/>
    </row>
    <row r="465" spans="1:8">
      <c r="A465" s="36"/>
      <c r="C465" s="36"/>
      <c r="D465" s="54"/>
      <c r="E465" s="36"/>
      <c r="G465" s="29"/>
      <c r="H465" s="29"/>
    </row>
    <row r="466" spans="1:8">
      <c r="A466" s="36"/>
      <c r="C466" s="36"/>
      <c r="D466" s="54"/>
      <c r="E466" s="36"/>
      <c r="G466" s="29"/>
      <c r="H466" s="29"/>
    </row>
    <row r="467" spans="1:8">
      <c r="A467" s="36"/>
      <c r="C467" s="36"/>
      <c r="D467" s="54"/>
      <c r="E467" s="36"/>
      <c r="G467" s="29"/>
      <c r="H467" s="29"/>
    </row>
    <row r="468" spans="1:8">
      <c r="A468" s="36"/>
      <c r="C468" s="36"/>
      <c r="D468" s="54"/>
      <c r="E468" s="36"/>
      <c r="G468" s="29"/>
      <c r="H468" s="29"/>
    </row>
    <row r="469" spans="1:8">
      <c r="A469" s="36"/>
      <c r="C469" s="36"/>
      <c r="D469" s="54"/>
      <c r="E469" s="36"/>
      <c r="G469" s="29"/>
      <c r="H469" s="29"/>
    </row>
    <row r="470" spans="1:8">
      <c r="A470" s="36"/>
      <c r="C470" s="36"/>
      <c r="D470" s="54"/>
      <c r="E470" s="36"/>
      <c r="G470" s="29"/>
      <c r="H470" s="29"/>
    </row>
    <row r="471" spans="1:8">
      <c r="A471" s="36"/>
      <c r="C471" s="36"/>
      <c r="D471" s="54"/>
      <c r="E471" s="36"/>
      <c r="G471" s="29"/>
      <c r="H471" s="29"/>
    </row>
    <row r="472" spans="1:8">
      <c r="A472" s="36"/>
      <c r="C472" s="36"/>
      <c r="D472" s="54"/>
      <c r="E472" s="36"/>
      <c r="G472" s="29"/>
      <c r="H472" s="29"/>
    </row>
    <row r="473" spans="1:8">
      <c r="A473" s="36"/>
      <c r="C473" s="36"/>
      <c r="D473" s="54"/>
      <c r="E473" s="36"/>
      <c r="G473" s="29"/>
      <c r="H473" s="29"/>
    </row>
    <row r="474" spans="1:8">
      <c r="A474" s="36"/>
      <c r="C474" s="36"/>
      <c r="D474" s="54"/>
      <c r="E474" s="36"/>
      <c r="G474" s="29"/>
      <c r="H474" s="29"/>
    </row>
    <row r="475" spans="1:8">
      <c r="A475" s="36"/>
      <c r="C475" s="36"/>
      <c r="D475" s="54"/>
      <c r="E475" s="36"/>
      <c r="G475" s="29"/>
      <c r="H475" s="29"/>
    </row>
    <row r="476" spans="1:8">
      <c r="A476" s="36"/>
      <c r="C476" s="36"/>
      <c r="D476" s="54"/>
      <c r="E476" s="36"/>
      <c r="G476" s="29"/>
      <c r="H476" s="29"/>
    </row>
    <row r="477" spans="1:8">
      <c r="A477" s="36"/>
      <c r="C477" s="36"/>
      <c r="D477" s="54"/>
      <c r="E477" s="36"/>
      <c r="G477" s="29"/>
      <c r="H477" s="29"/>
    </row>
    <row r="478" spans="1:8">
      <c r="A478" s="36"/>
      <c r="C478" s="36"/>
      <c r="D478" s="54"/>
      <c r="E478" s="36"/>
      <c r="G478" s="29"/>
      <c r="H478" s="29"/>
    </row>
    <row r="479" spans="1:8">
      <c r="A479" s="36"/>
      <c r="C479" s="36"/>
      <c r="D479" s="54"/>
      <c r="E479" s="36"/>
      <c r="G479" s="29"/>
      <c r="H479" s="29"/>
    </row>
    <row r="480" spans="1:8">
      <c r="A480" s="36"/>
      <c r="C480" s="36"/>
      <c r="D480" s="54"/>
      <c r="E480" s="36"/>
      <c r="G480" s="29"/>
      <c r="H480" s="29"/>
    </row>
    <row r="481" spans="1:8">
      <c r="A481" s="36"/>
      <c r="C481" s="36"/>
      <c r="D481" s="54"/>
      <c r="E481" s="36"/>
      <c r="G481" s="29"/>
      <c r="H481" s="29"/>
    </row>
    <row r="482" spans="1:8">
      <c r="A482" s="36"/>
      <c r="C482" s="36"/>
      <c r="D482" s="54"/>
      <c r="E482" s="36"/>
      <c r="G482" s="29"/>
      <c r="H482" s="29"/>
    </row>
    <row r="483" spans="1:8">
      <c r="A483" s="36"/>
      <c r="C483" s="36"/>
      <c r="D483" s="54"/>
      <c r="E483" s="36"/>
      <c r="G483" s="29"/>
      <c r="H483" s="29"/>
    </row>
    <row r="484" spans="1:8">
      <c r="A484" s="36"/>
      <c r="C484" s="36"/>
      <c r="D484" s="54"/>
      <c r="E484" s="36"/>
      <c r="G484" s="29"/>
      <c r="H484" s="29"/>
    </row>
    <row r="485" spans="1:8">
      <c r="A485" s="36"/>
      <c r="C485" s="36"/>
      <c r="D485" s="54"/>
      <c r="E485" s="36"/>
      <c r="G485" s="29"/>
      <c r="H485" s="29"/>
    </row>
    <row r="486" spans="1:8">
      <c r="A486" s="36"/>
      <c r="C486" s="36"/>
      <c r="D486" s="54"/>
      <c r="E486" s="36"/>
      <c r="G486" s="29"/>
      <c r="H486" s="29"/>
    </row>
    <row r="487" spans="1:8">
      <c r="A487" s="36"/>
      <c r="C487" s="36"/>
      <c r="D487" s="54"/>
      <c r="E487" s="36"/>
      <c r="G487" s="29"/>
      <c r="H487" s="29"/>
    </row>
    <row r="488" spans="1:8">
      <c r="A488" s="36"/>
      <c r="C488" s="36"/>
      <c r="D488" s="54"/>
      <c r="E488" s="36"/>
      <c r="G488" s="29"/>
      <c r="H488" s="29"/>
    </row>
    <row r="489" spans="1:8">
      <c r="A489" s="36"/>
      <c r="C489" s="36"/>
      <c r="D489" s="54"/>
      <c r="E489" s="36"/>
      <c r="G489" s="29"/>
      <c r="H489" s="29"/>
    </row>
    <row r="490" spans="1:8">
      <c r="A490" s="36"/>
      <c r="C490" s="36"/>
      <c r="D490" s="54"/>
      <c r="E490" s="36"/>
      <c r="G490" s="29"/>
      <c r="H490" s="29"/>
    </row>
    <row r="491" spans="1:8">
      <c r="A491" s="36"/>
      <c r="C491" s="36"/>
      <c r="D491" s="54"/>
      <c r="E491" s="36"/>
      <c r="G491" s="29"/>
      <c r="H491" s="29"/>
    </row>
    <row r="492" spans="1:8">
      <c r="A492" s="36"/>
      <c r="C492" s="36"/>
      <c r="D492" s="54"/>
      <c r="E492" s="36"/>
      <c r="G492" s="29"/>
      <c r="H492" s="29"/>
    </row>
    <row r="493" spans="1:8">
      <c r="A493" s="36"/>
      <c r="C493" s="36"/>
      <c r="D493" s="54"/>
      <c r="E493" s="36"/>
      <c r="G493" s="29"/>
      <c r="H493" s="29"/>
    </row>
    <row r="494" spans="1:8">
      <c r="A494" s="36"/>
      <c r="C494" s="36"/>
      <c r="D494" s="54"/>
      <c r="E494" s="36"/>
      <c r="G494" s="29"/>
      <c r="H494" s="29"/>
    </row>
    <row r="495" spans="1:8">
      <c r="A495" s="36"/>
      <c r="C495" s="36"/>
      <c r="D495" s="54"/>
      <c r="E495" s="36"/>
      <c r="G495" s="29"/>
      <c r="H495" s="29"/>
    </row>
    <row r="496" spans="1:8">
      <c r="A496" s="36"/>
      <c r="C496" s="36"/>
      <c r="D496" s="54"/>
      <c r="E496" s="36"/>
      <c r="G496" s="29"/>
      <c r="H496" s="29"/>
    </row>
    <row r="497" spans="1:8">
      <c r="A497" s="36"/>
      <c r="C497" s="36"/>
      <c r="D497" s="54"/>
      <c r="E497" s="36"/>
      <c r="G497" s="29"/>
      <c r="H497" s="29"/>
    </row>
    <row r="498" spans="1:8">
      <c r="A498" s="36"/>
      <c r="C498" s="36"/>
      <c r="D498" s="54"/>
      <c r="E498" s="36"/>
      <c r="G498" s="29"/>
      <c r="H498" s="29"/>
    </row>
    <row r="499" spans="1:8">
      <c r="A499" s="36"/>
      <c r="C499" s="36"/>
      <c r="D499" s="54"/>
      <c r="E499" s="36"/>
      <c r="G499" s="29"/>
      <c r="H499" s="29"/>
    </row>
    <row r="500" spans="1:8">
      <c r="A500" s="36"/>
      <c r="C500" s="36"/>
      <c r="D500" s="54"/>
      <c r="E500" s="36"/>
      <c r="G500" s="29"/>
      <c r="H500" s="29"/>
    </row>
    <row r="501" spans="1:8">
      <c r="A501" s="36"/>
      <c r="C501" s="36"/>
      <c r="D501" s="54"/>
      <c r="E501" s="36"/>
      <c r="G501" s="29"/>
      <c r="H501" s="29"/>
    </row>
    <row r="502" spans="1:8">
      <c r="G502" s="29"/>
    </row>
  </sheetData>
  <sheetProtection sheet="1" objects="1" scenarios="1" formatColumns="0" formatRows="0" autoFilter="0"/>
  <autoFilter ref="A1:H501" xr:uid="{F9E54B31-1B0D-4436-96A8-F728331DCD77}"/>
  <phoneticPr fontId="1"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E10CC41-C9E4-4E3A-B5B0-617665C1C0AD}">
          <x14:formula1>
            <xm:f>Valintalistat!$L$2:$L$4</xm:f>
          </x14:formula1>
          <xm:sqref>G2:G502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D85FE-0481-49C7-9710-DEA10B419000}">
  <dimension ref="A1:D38"/>
  <sheetViews>
    <sheetView workbookViewId="0" xr3:uid="{A3BCF29B-0BE0-52AB-BDE3-7C04C276CDE8}">
      <pane ySplit="2" topLeftCell="A3" activePane="bottomLeft" state="frozen"/>
      <selection pane="bottomLeft" activeCell="H18" sqref="H18"/>
    </sheetView>
  </sheetViews>
  <sheetFormatPr defaultColWidth="9.140625" defaultRowHeight="12.6"/>
  <cols>
    <col min="1" max="1" width="18.28515625" style="16" customWidth="1"/>
    <col min="2" max="2" width="14.7109375" style="16" customWidth="1"/>
    <col min="3" max="3" width="40.7109375" style="16" customWidth="1"/>
    <col min="4" max="4" width="26.7109375" style="16" customWidth="1"/>
    <col min="5" max="16384" width="9.140625" style="16"/>
  </cols>
  <sheetData>
    <row r="1" spans="1:4" s="64" customFormat="1" ht="20.100000000000001">
      <c r="A1" s="78" t="s">
        <v>211</v>
      </c>
    </row>
    <row r="2" spans="1:4" ht="30.95">
      <c r="A2" s="37" t="s">
        <v>39</v>
      </c>
      <c r="B2" s="37" t="s">
        <v>40</v>
      </c>
      <c r="C2" s="37" t="s">
        <v>41</v>
      </c>
      <c r="D2" s="27" t="s">
        <v>212</v>
      </c>
    </row>
    <row r="3" spans="1:4">
      <c r="A3" s="59" t="str" cm="1">
        <f t="array" ref="A3">_xlfn._xlws.FILTER('Hankintaehtojen kooste'!A2:C37,'Hankintaehtojen kooste'!E2:E37=1,"")</f>
        <v/>
      </c>
      <c r="B3" s="59"/>
      <c r="C3" s="59"/>
      <c r="D3" s="25"/>
    </row>
    <row r="4" spans="1:4">
      <c r="A4" s="59"/>
      <c r="B4" s="59"/>
      <c r="C4" s="59"/>
      <c r="D4" s="26"/>
    </row>
    <row r="5" spans="1:4">
      <c r="A5" s="59"/>
      <c r="B5" s="59"/>
      <c r="C5" s="59"/>
      <c r="D5" s="26"/>
    </row>
    <row r="6" spans="1:4">
      <c r="A6" s="59"/>
      <c r="B6" s="59"/>
      <c r="C6" s="59"/>
      <c r="D6" s="26"/>
    </row>
    <row r="7" spans="1:4">
      <c r="A7" s="59"/>
      <c r="B7" s="59"/>
      <c r="C7" s="59"/>
      <c r="D7" s="26"/>
    </row>
    <row r="8" spans="1:4">
      <c r="A8" s="59"/>
      <c r="B8" s="59"/>
      <c r="C8" s="59"/>
      <c r="D8" s="26"/>
    </row>
    <row r="9" spans="1:4">
      <c r="A9" s="59"/>
      <c r="B9" s="59"/>
      <c r="C9" s="59"/>
      <c r="D9" s="26"/>
    </row>
    <row r="10" spans="1:4">
      <c r="A10" s="59"/>
      <c r="B10" s="59"/>
      <c r="C10" s="59"/>
      <c r="D10" s="26"/>
    </row>
    <row r="11" spans="1:4">
      <c r="A11" s="59"/>
      <c r="B11" s="59"/>
      <c r="C11" s="59"/>
      <c r="D11" s="26"/>
    </row>
    <row r="12" spans="1:4">
      <c r="A12" s="59"/>
      <c r="B12" s="59"/>
      <c r="C12" s="59"/>
      <c r="D12" s="26"/>
    </row>
    <row r="13" spans="1:4">
      <c r="A13" s="59"/>
      <c r="B13" s="59"/>
      <c r="C13" s="59"/>
      <c r="D13" s="26"/>
    </row>
    <row r="14" spans="1:4">
      <c r="A14" s="59"/>
      <c r="B14" s="59"/>
      <c r="C14" s="59"/>
      <c r="D14" s="26"/>
    </row>
    <row r="15" spans="1:4">
      <c r="A15" s="59"/>
      <c r="B15" s="59"/>
      <c r="C15" s="59"/>
      <c r="D15" s="26"/>
    </row>
    <row r="16" spans="1:4">
      <c r="A16" s="59"/>
      <c r="B16" s="59"/>
      <c r="C16" s="59"/>
      <c r="D16" s="26"/>
    </row>
    <row r="17" spans="1:4">
      <c r="A17" s="59"/>
      <c r="B17" s="59"/>
      <c r="C17" s="59"/>
      <c r="D17" s="26"/>
    </row>
    <row r="18" spans="1:4">
      <c r="A18" s="59"/>
      <c r="B18" s="59"/>
      <c r="C18" s="59"/>
      <c r="D18" s="26"/>
    </row>
    <row r="19" spans="1:4">
      <c r="A19" s="59"/>
      <c r="B19" s="59"/>
      <c r="C19" s="59"/>
      <c r="D19" s="26"/>
    </row>
    <row r="20" spans="1:4">
      <c r="A20" s="59"/>
      <c r="B20" s="59"/>
      <c r="C20" s="59"/>
      <c r="D20" s="26"/>
    </row>
    <row r="21" spans="1:4">
      <c r="A21" s="59"/>
      <c r="B21" s="59"/>
      <c r="C21" s="59"/>
      <c r="D21" s="26"/>
    </row>
    <row r="22" spans="1:4">
      <c r="A22" s="59"/>
      <c r="B22" s="59"/>
      <c r="C22" s="59"/>
      <c r="D22" s="26"/>
    </row>
    <row r="23" spans="1:4">
      <c r="A23" s="59"/>
      <c r="B23" s="59"/>
      <c r="C23" s="59"/>
      <c r="D23" s="26"/>
    </row>
    <row r="24" spans="1:4">
      <c r="A24" s="59"/>
      <c r="B24" s="59"/>
      <c r="C24" s="59"/>
      <c r="D24" s="26"/>
    </row>
    <row r="25" spans="1:4">
      <c r="A25" s="59"/>
      <c r="B25" s="59"/>
      <c r="C25" s="59"/>
      <c r="D25" s="26"/>
    </row>
    <row r="26" spans="1:4">
      <c r="A26" s="59"/>
      <c r="B26" s="59"/>
      <c r="C26" s="59"/>
      <c r="D26" s="26"/>
    </row>
    <row r="27" spans="1:4">
      <c r="A27" s="59"/>
      <c r="B27" s="59"/>
      <c r="C27" s="59"/>
      <c r="D27" s="26"/>
    </row>
    <row r="28" spans="1:4">
      <c r="A28" s="59"/>
      <c r="B28" s="59"/>
      <c r="C28" s="59"/>
      <c r="D28" s="26"/>
    </row>
    <row r="29" spans="1:4">
      <c r="A29" s="59"/>
      <c r="B29" s="59"/>
      <c r="C29" s="59"/>
      <c r="D29" s="26"/>
    </row>
    <row r="30" spans="1:4">
      <c r="A30" s="59"/>
      <c r="B30" s="59"/>
      <c r="C30" s="59"/>
      <c r="D30" s="26"/>
    </row>
    <row r="31" spans="1:4">
      <c r="A31" s="59"/>
      <c r="B31" s="59"/>
      <c r="C31" s="59"/>
      <c r="D31" s="26"/>
    </row>
    <row r="32" spans="1:4">
      <c r="A32" s="59"/>
      <c r="B32" s="59"/>
      <c r="C32" s="59"/>
      <c r="D32" s="26"/>
    </row>
    <row r="33" spans="1:4">
      <c r="A33" s="59"/>
      <c r="B33" s="59"/>
      <c r="C33" s="59"/>
      <c r="D33" s="26"/>
    </row>
    <row r="34" spans="1:4">
      <c r="A34" s="59"/>
      <c r="B34" s="59"/>
      <c r="C34" s="59"/>
      <c r="D34" s="26"/>
    </row>
    <row r="35" spans="1:4">
      <c r="A35" s="59"/>
      <c r="B35" s="59"/>
      <c r="C35" s="59"/>
      <c r="D35" s="26"/>
    </row>
    <row r="36" spans="1:4">
      <c r="A36" s="59"/>
      <c r="B36" s="59"/>
      <c r="C36" s="59"/>
      <c r="D36" s="26"/>
    </row>
    <row r="37" spans="1:4">
      <c r="A37" s="59"/>
      <c r="B37" s="59"/>
      <c r="C37" s="59"/>
      <c r="D37" s="26"/>
    </row>
    <row r="38" spans="1:4">
      <c r="A38" s="59"/>
      <c r="B38" s="59"/>
      <c r="C38" s="59"/>
      <c r="D38" s="26"/>
    </row>
  </sheetData>
  <sheetProtection sheet="1" objects="1" scenarios="1" formatColumns="0" formatRows="0"/>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F0F1D-413A-481F-B012-3E70C65EA624}">
  <dimension ref="A1:D43"/>
  <sheetViews>
    <sheetView workbookViewId="0" xr3:uid="{1A3B81CA-3E28-5547-84BA-F8021CC42F8E}">
      <pane ySplit="2" topLeftCell="A7" activePane="bottomLeft" state="frozen"/>
      <selection pane="bottomLeft" activeCell="G19" sqref="G19"/>
    </sheetView>
  </sheetViews>
  <sheetFormatPr defaultColWidth="9.140625" defaultRowHeight="12.6"/>
  <cols>
    <col min="1" max="1" width="18.28515625" style="16" customWidth="1"/>
    <col min="2" max="2" width="14.7109375" style="16" customWidth="1"/>
    <col min="3" max="3" width="40.7109375" style="16" customWidth="1"/>
    <col min="4" max="4" width="26.7109375" style="16" customWidth="1"/>
    <col min="5" max="16384" width="9.140625" style="16"/>
  </cols>
  <sheetData>
    <row r="1" spans="1:4" s="64" customFormat="1" ht="20.100000000000001">
      <c r="A1" s="78" t="s">
        <v>213</v>
      </c>
    </row>
    <row r="2" spans="1:4" ht="30.95">
      <c r="A2" s="37" t="s">
        <v>39</v>
      </c>
      <c r="B2" s="37" t="s">
        <v>40</v>
      </c>
      <c r="C2" s="37" t="s">
        <v>41</v>
      </c>
      <c r="D2" s="27" t="s">
        <v>212</v>
      </c>
    </row>
    <row r="3" spans="1:4">
      <c r="A3" s="59" t="str" cm="1">
        <f t="array" ref="A3">_xlfn._xlws.FILTER('Hankintaehtojen kooste'!A38:C79,'Hankintaehtojen kooste'!E38:E79=1,"")</f>
        <v/>
      </c>
      <c r="B3" s="59"/>
      <c r="C3" s="59"/>
      <c r="D3" s="26"/>
    </row>
    <row r="4" spans="1:4">
      <c r="A4" s="59"/>
      <c r="B4" s="59"/>
      <c r="C4" s="59"/>
      <c r="D4" s="26"/>
    </row>
    <row r="5" spans="1:4">
      <c r="A5" s="59"/>
      <c r="B5" s="59"/>
      <c r="C5" s="59"/>
      <c r="D5" s="26"/>
    </row>
    <row r="6" spans="1:4">
      <c r="A6" s="59"/>
      <c r="B6" s="59"/>
      <c r="C6" s="59"/>
      <c r="D6" s="26"/>
    </row>
    <row r="7" spans="1:4">
      <c r="A7" s="59"/>
      <c r="B7" s="59"/>
      <c r="C7" s="59"/>
      <c r="D7" s="26"/>
    </row>
    <row r="8" spans="1:4">
      <c r="A8" s="59"/>
      <c r="B8" s="59"/>
      <c r="C8" s="59"/>
      <c r="D8" s="26"/>
    </row>
    <row r="9" spans="1:4">
      <c r="A9" s="59"/>
      <c r="B9" s="59"/>
      <c r="C9" s="59"/>
      <c r="D9" s="26"/>
    </row>
    <row r="10" spans="1:4">
      <c r="A10" s="59"/>
      <c r="B10" s="59"/>
      <c r="C10" s="59"/>
      <c r="D10" s="26"/>
    </row>
    <row r="11" spans="1:4">
      <c r="A11" s="59"/>
      <c r="B11" s="59"/>
      <c r="C11" s="59"/>
      <c r="D11" s="26"/>
    </row>
    <row r="12" spans="1:4">
      <c r="A12" s="59"/>
      <c r="B12" s="59"/>
      <c r="C12" s="59"/>
      <c r="D12" s="26"/>
    </row>
    <row r="13" spans="1:4">
      <c r="A13" s="59"/>
      <c r="B13" s="59"/>
      <c r="C13" s="59"/>
      <c r="D13" s="26"/>
    </row>
    <row r="14" spans="1:4">
      <c r="A14" s="59"/>
      <c r="B14" s="59"/>
      <c r="C14" s="59"/>
      <c r="D14" s="26"/>
    </row>
    <row r="15" spans="1:4">
      <c r="A15" s="59"/>
      <c r="B15" s="59"/>
      <c r="C15" s="59"/>
      <c r="D15" s="26"/>
    </row>
    <row r="16" spans="1:4">
      <c r="A16" s="59"/>
      <c r="B16" s="59"/>
      <c r="C16" s="59"/>
      <c r="D16" s="26"/>
    </row>
    <row r="17" spans="1:4">
      <c r="A17" s="59"/>
      <c r="B17" s="59"/>
      <c r="C17" s="59"/>
      <c r="D17" s="26"/>
    </row>
    <row r="18" spans="1:4">
      <c r="A18" s="59"/>
      <c r="B18" s="59"/>
      <c r="C18" s="59"/>
      <c r="D18" s="26"/>
    </row>
    <row r="19" spans="1:4">
      <c r="A19" s="59"/>
      <c r="B19" s="59"/>
      <c r="C19" s="59"/>
      <c r="D19" s="26"/>
    </row>
    <row r="20" spans="1:4">
      <c r="A20" s="59"/>
      <c r="B20" s="59"/>
      <c r="C20" s="59"/>
      <c r="D20" s="26"/>
    </row>
    <row r="21" spans="1:4">
      <c r="A21" s="59"/>
      <c r="B21" s="59"/>
      <c r="C21" s="59"/>
      <c r="D21" s="26"/>
    </row>
    <row r="22" spans="1:4">
      <c r="A22" s="59"/>
      <c r="B22" s="59"/>
      <c r="C22" s="59"/>
      <c r="D22" s="26"/>
    </row>
    <row r="23" spans="1:4">
      <c r="A23" s="59"/>
      <c r="B23" s="59"/>
      <c r="C23" s="59"/>
      <c r="D23" s="26"/>
    </row>
    <row r="24" spans="1:4">
      <c r="A24" s="59"/>
      <c r="B24" s="59"/>
      <c r="C24" s="59"/>
      <c r="D24" s="26"/>
    </row>
    <row r="25" spans="1:4">
      <c r="A25" s="59"/>
      <c r="B25" s="59"/>
      <c r="C25" s="59"/>
      <c r="D25" s="26"/>
    </row>
    <row r="26" spans="1:4">
      <c r="A26" s="59"/>
      <c r="B26" s="59"/>
      <c r="C26" s="59"/>
      <c r="D26" s="26"/>
    </row>
    <row r="27" spans="1:4">
      <c r="A27" s="59"/>
      <c r="B27" s="59"/>
      <c r="C27" s="59"/>
      <c r="D27" s="26"/>
    </row>
    <row r="28" spans="1:4">
      <c r="A28" s="59"/>
      <c r="B28" s="59"/>
      <c r="C28" s="59"/>
      <c r="D28" s="26"/>
    </row>
    <row r="29" spans="1:4">
      <c r="A29" s="59"/>
      <c r="B29" s="59"/>
      <c r="C29" s="59"/>
      <c r="D29" s="26"/>
    </row>
    <row r="30" spans="1:4">
      <c r="A30" s="59"/>
      <c r="B30" s="59"/>
      <c r="C30" s="59"/>
      <c r="D30" s="26"/>
    </row>
    <row r="31" spans="1:4">
      <c r="A31" s="59"/>
      <c r="B31" s="59"/>
      <c r="C31" s="59"/>
      <c r="D31" s="26"/>
    </row>
    <row r="32" spans="1:4">
      <c r="A32" s="59"/>
      <c r="B32" s="59"/>
      <c r="C32" s="59"/>
      <c r="D32" s="26"/>
    </row>
    <row r="33" spans="1:4">
      <c r="A33" s="59"/>
      <c r="B33" s="59"/>
      <c r="C33" s="59"/>
      <c r="D33" s="26"/>
    </row>
    <row r="34" spans="1:4">
      <c r="A34" s="59"/>
      <c r="B34" s="59"/>
      <c r="C34" s="59"/>
      <c r="D34" s="26"/>
    </row>
    <row r="35" spans="1:4">
      <c r="A35" s="59"/>
      <c r="B35" s="59"/>
      <c r="C35" s="59"/>
      <c r="D35" s="26"/>
    </row>
    <row r="36" spans="1:4">
      <c r="A36" s="59"/>
      <c r="B36" s="59"/>
      <c r="C36" s="59"/>
      <c r="D36" s="26"/>
    </row>
    <row r="37" spans="1:4">
      <c r="A37" s="59"/>
      <c r="B37" s="59"/>
      <c r="C37" s="59"/>
      <c r="D37" s="26"/>
    </row>
    <row r="38" spans="1:4">
      <c r="A38" s="59"/>
      <c r="B38" s="59"/>
      <c r="C38" s="59"/>
      <c r="D38" s="26"/>
    </row>
    <row r="39" spans="1:4">
      <c r="A39" s="59"/>
      <c r="B39" s="59"/>
      <c r="C39" s="59"/>
      <c r="D39" s="26"/>
    </row>
    <row r="40" spans="1:4">
      <c r="A40" s="59"/>
      <c r="B40" s="59"/>
      <c r="C40" s="59"/>
      <c r="D40" s="26"/>
    </row>
    <row r="41" spans="1:4">
      <c r="A41" s="59"/>
      <c r="B41" s="59"/>
      <c r="C41" s="59"/>
      <c r="D41" s="26"/>
    </row>
    <row r="42" spans="1:4">
      <c r="A42" s="59"/>
      <c r="B42" s="59"/>
      <c r="C42" s="59"/>
      <c r="D42" s="26"/>
    </row>
    <row r="43" spans="1:4">
      <c r="A43" s="59"/>
      <c r="B43" s="59"/>
      <c r="C43" s="59"/>
      <c r="D43" s="26"/>
    </row>
  </sheetData>
  <sheetProtection sheet="1" objects="1" scenarios="1" formatColumns="0" formatRows="0"/>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CA73-52FF-4BB6-AFEA-D79CA746E2E9}">
  <dimension ref="A1:D99"/>
  <sheetViews>
    <sheetView workbookViewId="0" xr3:uid="{2D96C5B9-DF43-5B66-93B5-F1B8E49B8628}">
      <pane ySplit="2" topLeftCell="A3" activePane="bottomLeft" state="frozen"/>
      <selection pane="bottomLeft" activeCell="G9" sqref="G9"/>
    </sheetView>
  </sheetViews>
  <sheetFormatPr defaultColWidth="9.140625" defaultRowHeight="12.6"/>
  <cols>
    <col min="1" max="1" width="18.28515625" style="16" customWidth="1"/>
    <col min="2" max="2" width="14.7109375" style="16" customWidth="1"/>
    <col min="3" max="3" width="40.7109375" style="16" customWidth="1"/>
    <col min="4" max="4" width="26.7109375" style="16" customWidth="1"/>
    <col min="5" max="16384" width="9.140625" style="16"/>
  </cols>
  <sheetData>
    <row r="1" spans="1:4" ht="20.100000000000001">
      <c r="A1" s="78" t="s">
        <v>214</v>
      </c>
    </row>
    <row r="2" spans="1:4" ht="30.95">
      <c r="A2" s="37" t="s">
        <v>39</v>
      </c>
      <c r="B2" s="37" t="s">
        <v>40</v>
      </c>
      <c r="C2" s="37" t="s">
        <v>41</v>
      </c>
      <c r="D2" s="27" t="s">
        <v>212</v>
      </c>
    </row>
    <row r="3" spans="1:4">
      <c r="A3" s="59" t="str" cm="1">
        <f t="array" ref="A3">_xlfn._xlws.FILTER('Hankintaehtojen kooste'!A80:C176,'Hankintaehtojen kooste'!E80:E176=1,"")</f>
        <v/>
      </c>
      <c r="B3" s="59"/>
      <c r="C3" s="59"/>
      <c r="D3" s="26"/>
    </row>
    <row r="4" spans="1:4">
      <c r="A4" s="59"/>
      <c r="B4" s="59"/>
      <c r="C4" s="59"/>
      <c r="D4" s="26"/>
    </row>
    <row r="5" spans="1:4">
      <c r="A5" s="59"/>
      <c r="B5" s="59"/>
      <c r="C5" s="59"/>
      <c r="D5" s="26"/>
    </row>
    <row r="6" spans="1:4">
      <c r="A6" s="59"/>
      <c r="B6" s="59"/>
      <c r="C6" s="59"/>
      <c r="D6" s="26"/>
    </row>
    <row r="7" spans="1:4">
      <c r="A7" s="59"/>
      <c r="B7" s="59"/>
      <c r="C7" s="59"/>
      <c r="D7" s="26"/>
    </row>
    <row r="8" spans="1:4">
      <c r="A8" s="59"/>
      <c r="B8" s="59"/>
      <c r="C8" s="59"/>
      <c r="D8" s="26"/>
    </row>
    <row r="9" spans="1:4">
      <c r="A9" s="59"/>
      <c r="B9" s="59"/>
      <c r="C9" s="59"/>
      <c r="D9" s="26"/>
    </row>
    <row r="10" spans="1:4">
      <c r="A10" s="59"/>
      <c r="B10" s="59"/>
      <c r="C10" s="59"/>
      <c r="D10" s="26"/>
    </row>
    <row r="11" spans="1:4">
      <c r="A11" s="59"/>
      <c r="B11" s="59"/>
      <c r="C11" s="59"/>
      <c r="D11" s="26"/>
    </row>
    <row r="12" spans="1:4">
      <c r="A12" s="59"/>
      <c r="B12" s="59"/>
      <c r="C12" s="59"/>
      <c r="D12" s="26"/>
    </row>
    <row r="13" spans="1:4">
      <c r="A13" s="59"/>
      <c r="B13" s="59"/>
      <c r="C13" s="59"/>
      <c r="D13" s="26"/>
    </row>
    <row r="14" spans="1:4">
      <c r="A14" s="59"/>
      <c r="B14" s="59"/>
      <c r="C14" s="59"/>
      <c r="D14" s="26"/>
    </row>
    <row r="15" spans="1:4">
      <c r="A15" s="59"/>
      <c r="B15" s="59"/>
      <c r="C15" s="59"/>
      <c r="D15" s="26"/>
    </row>
    <row r="16" spans="1:4">
      <c r="A16" s="59"/>
      <c r="B16" s="59"/>
      <c r="C16" s="59"/>
      <c r="D16" s="26"/>
    </row>
    <row r="17" spans="1:4">
      <c r="A17" s="59"/>
      <c r="B17" s="59"/>
      <c r="C17" s="59"/>
      <c r="D17" s="26"/>
    </row>
    <row r="18" spans="1:4">
      <c r="A18" s="59"/>
      <c r="B18" s="59"/>
      <c r="C18" s="59"/>
      <c r="D18" s="26"/>
    </row>
    <row r="19" spans="1:4">
      <c r="A19" s="59"/>
      <c r="B19" s="59"/>
      <c r="C19" s="59"/>
      <c r="D19" s="26"/>
    </row>
    <row r="20" spans="1:4">
      <c r="A20" s="59"/>
      <c r="B20" s="59"/>
      <c r="C20" s="59"/>
      <c r="D20" s="26"/>
    </row>
    <row r="21" spans="1:4">
      <c r="A21" s="59"/>
      <c r="B21" s="59"/>
      <c r="C21" s="59"/>
      <c r="D21" s="26"/>
    </row>
    <row r="22" spans="1:4">
      <c r="A22" s="59"/>
      <c r="B22" s="59"/>
      <c r="C22" s="59"/>
      <c r="D22" s="26"/>
    </row>
    <row r="23" spans="1:4">
      <c r="A23" s="59"/>
      <c r="B23" s="59"/>
      <c r="C23" s="59"/>
      <c r="D23" s="26"/>
    </row>
    <row r="24" spans="1:4">
      <c r="A24" s="59"/>
      <c r="B24" s="59"/>
      <c r="C24" s="59"/>
      <c r="D24" s="26"/>
    </row>
    <row r="25" spans="1:4">
      <c r="A25" s="59"/>
      <c r="B25" s="59"/>
      <c r="C25" s="59"/>
      <c r="D25" s="26"/>
    </row>
    <row r="26" spans="1:4">
      <c r="A26" s="59"/>
      <c r="B26" s="59"/>
      <c r="C26" s="59"/>
      <c r="D26" s="26"/>
    </row>
    <row r="27" spans="1:4">
      <c r="A27" s="59"/>
      <c r="B27" s="59"/>
      <c r="C27" s="59"/>
      <c r="D27" s="26"/>
    </row>
    <row r="28" spans="1:4">
      <c r="A28" s="59"/>
      <c r="B28" s="59"/>
      <c r="C28" s="59"/>
      <c r="D28" s="26"/>
    </row>
    <row r="29" spans="1:4">
      <c r="A29" s="59"/>
      <c r="B29" s="59"/>
      <c r="C29" s="59"/>
      <c r="D29" s="26"/>
    </row>
    <row r="30" spans="1:4">
      <c r="A30" s="59"/>
      <c r="B30" s="59"/>
      <c r="C30" s="59"/>
      <c r="D30" s="26"/>
    </row>
    <row r="31" spans="1:4">
      <c r="A31" s="59"/>
      <c r="B31" s="59"/>
      <c r="C31" s="59"/>
      <c r="D31" s="26"/>
    </row>
    <row r="32" spans="1:4">
      <c r="A32" s="59"/>
      <c r="B32" s="59"/>
      <c r="C32" s="59"/>
      <c r="D32" s="26"/>
    </row>
    <row r="33" spans="1:4">
      <c r="A33" s="59"/>
      <c r="B33" s="59"/>
      <c r="C33" s="59"/>
      <c r="D33" s="26"/>
    </row>
    <row r="34" spans="1:4">
      <c r="A34" s="59"/>
      <c r="B34" s="59"/>
      <c r="C34" s="59"/>
      <c r="D34" s="26"/>
    </row>
    <row r="35" spans="1:4">
      <c r="A35" s="59"/>
      <c r="B35" s="59"/>
      <c r="C35" s="59"/>
      <c r="D35" s="26"/>
    </row>
    <row r="36" spans="1:4">
      <c r="A36" s="59"/>
      <c r="B36" s="59"/>
      <c r="C36" s="59"/>
      <c r="D36" s="26"/>
    </row>
    <row r="37" spans="1:4">
      <c r="A37" s="59"/>
      <c r="B37" s="59"/>
      <c r="C37" s="59"/>
      <c r="D37" s="26"/>
    </row>
    <row r="38" spans="1:4">
      <c r="A38" s="59"/>
      <c r="B38" s="59"/>
      <c r="C38" s="59"/>
      <c r="D38" s="26"/>
    </row>
    <row r="39" spans="1:4">
      <c r="A39" s="59"/>
      <c r="B39" s="59"/>
      <c r="C39" s="59"/>
      <c r="D39" s="26"/>
    </row>
    <row r="40" spans="1:4">
      <c r="A40" s="59"/>
      <c r="B40" s="59"/>
      <c r="C40" s="59"/>
      <c r="D40" s="26"/>
    </row>
    <row r="41" spans="1:4">
      <c r="A41" s="59"/>
      <c r="B41" s="59"/>
      <c r="C41" s="59"/>
      <c r="D41" s="26"/>
    </row>
    <row r="42" spans="1:4">
      <c r="A42" s="59"/>
      <c r="B42" s="59"/>
      <c r="C42" s="59"/>
      <c r="D42" s="26"/>
    </row>
    <row r="43" spans="1:4">
      <c r="A43" s="59"/>
      <c r="B43" s="59"/>
      <c r="C43" s="59"/>
      <c r="D43" s="26"/>
    </row>
    <row r="44" spans="1:4">
      <c r="A44" s="59"/>
      <c r="B44" s="59"/>
      <c r="C44" s="59"/>
      <c r="D44" s="26"/>
    </row>
    <row r="45" spans="1:4">
      <c r="A45" s="59"/>
      <c r="B45" s="59"/>
      <c r="C45" s="59"/>
      <c r="D45" s="26"/>
    </row>
    <row r="46" spans="1:4">
      <c r="A46" s="59"/>
      <c r="B46" s="59"/>
      <c r="C46" s="59"/>
      <c r="D46" s="26"/>
    </row>
    <row r="47" spans="1:4">
      <c r="A47" s="59"/>
      <c r="B47" s="59"/>
      <c r="C47" s="59"/>
      <c r="D47" s="26"/>
    </row>
    <row r="48" spans="1:4">
      <c r="A48" s="59"/>
      <c r="B48" s="59"/>
      <c r="C48" s="59"/>
      <c r="D48" s="26"/>
    </row>
    <row r="49" spans="1:4">
      <c r="A49" s="59"/>
      <c r="B49" s="59"/>
      <c r="C49" s="59"/>
      <c r="D49" s="26"/>
    </row>
    <row r="50" spans="1:4">
      <c r="A50" s="59"/>
      <c r="B50" s="59"/>
      <c r="C50" s="59"/>
      <c r="D50" s="26"/>
    </row>
    <row r="51" spans="1:4">
      <c r="A51" s="59"/>
      <c r="B51" s="59"/>
      <c r="C51" s="59"/>
      <c r="D51" s="26"/>
    </row>
    <row r="52" spans="1:4">
      <c r="A52" s="59"/>
      <c r="B52" s="59"/>
      <c r="C52" s="59"/>
      <c r="D52" s="26"/>
    </row>
    <row r="53" spans="1:4">
      <c r="A53" s="59"/>
      <c r="B53" s="59"/>
      <c r="C53" s="59"/>
      <c r="D53" s="26"/>
    </row>
    <row r="54" spans="1:4">
      <c r="A54" s="59"/>
      <c r="B54" s="59"/>
      <c r="C54" s="59"/>
      <c r="D54" s="26"/>
    </row>
    <row r="55" spans="1:4">
      <c r="A55" s="59"/>
      <c r="B55" s="59"/>
      <c r="C55" s="59"/>
      <c r="D55" s="26"/>
    </row>
    <row r="56" spans="1:4">
      <c r="A56" s="59"/>
      <c r="B56" s="59"/>
      <c r="C56" s="59"/>
      <c r="D56" s="26"/>
    </row>
    <row r="57" spans="1:4">
      <c r="A57" s="59"/>
      <c r="B57" s="59"/>
      <c r="C57" s="59"/>
      <c r="D57" s="26"/>
    </row>
    <row r="58" spans="1:4">
      <c r="A58" s="59"/>
      <c r="B58" s="59"/>
      <c r="C58" s="59"/>
      <c r="D58" s="26"/>
    </row>
    <row r="59" spans="1:4">
      <c r="A59" s="59"/>
      <c r="B59" s="59"/>
      <c r="C59" s="59"/>
      <c r="D59" s="26"/>
    </row>
    <row r="60" spans="1:4">
      <c r="A60" s="59"/>
      <c r="B60" s="59"/>
      <c r="C60" s="59"/>
      <c r="D60" s="26"/>
    </row>
    <row r="61" spans="1:4">
      <c r="A61" s="59"/>
      <c r="B61" s="59"/>
      <c r="C61" s="59"/>
      <c r="D61" s="26"/>
    </row>
    <row r="62" spans="1:4">
      <c r="A62" s="59"/>
      <c r="B62" s="59"/>
      <c r="C62" s="59"/>
      <c r="D62" s="26"/>
    </row>
    <row r="63" spans="1:4">
      <c r="A63" s="59"/>
      <c r="B63" s="59"/>
      <c r="C63" s="59"/>
      <c r="D63" s="26"/>
    </row>
    <row r="64" spans="1:4">
      <c r="A64" s="59"/>
      <c r="B64" s="59"/>
      <c r="C64" s="59"/>
      <c r="D64" s="26"/>
    </row>
    <row r="65" spans="1:4">
      <c r="A65" s="59"/>
      <c r="B65" s="59"/>
      <c r="C65" s="59"/>
      <c r="D65" s="26"/>
    </row>
    <row r="66" spans="1:4">
      <c r="A66" s="59"/>
      <c r="B66" s="59"/>
      <c r="C66" s="59"/>
      <c r="D66" s="26"/>
    </row>
    <row r="67" spans="1:4">
      <c r="A67" s="59"/>
      <c r="B67" s="59"/>
      <c r="C67" s="59"/>
      <c r="D67" s="26"/>
    </row>
    <row r="68" spans="1:4">
      <c r="A68" s="59"/>
      <c r="B68" s="59"/>
      <c r="C68" s="59"/>
      <c r="D68" s="26"/>
    </row>
    <row r="69" spans="1:4">
      <c r="A69" s="59"/>
      <c r="B69" s="59"/>
      <c r="C69" s="59"/>
      <c r="D69" s="26"/>
    </row>
    <row r="70" spans="1:4">
      <c r="A70" s="59"/>
      <c r="B70" s="59"/>
      <c r="C70" s="59"/>
      <c r="D70" s="26"/>
    </row>
    <row r="71" spans="1:4">
      <c r="A71" s="59"/>
      <c r="B71" s="59"/>
      <c r="C71" s="59"/>
      <c r="D71" s="26"/>
    </row>
    <row r="72" spans="1:4">
      <c r="A72" s="59"/>
      <c r="B72" s="59"/>
      <c r="C72" s="59"/>
      <c r="D72" s="26"/>
    </row>
    <row r="73" spans="1:4">
      <c r="A73" s="59"/>
      <c r="B73" s="59"/>
      <c r="C73" s="59"/>
      <c r="D73" s="26"/>
    </row>
    <row r="74" spans="1:4">
      <c r="A74" s="59"/>
      <c r="B74" s="59"/>
      <c r="C74" s="59"/>
      <c r="D74" s="26"/>
    </row>
    <row r="75" spans="1:4">
      <c r="A75" s="59"/>
      <c r="B75" s="59"/>
      <c r="C75" s="59"/>
      <c r="D75" s="26"/>
    </row>
    <row r="76" spans="1:4">
      <c r="A76" s="59"/>
      <c r="B76" s="59"/>
      <c r="C76" s="59"/>
      <c r="D76" s="26"/>
    </row>
    <row r="77" spans="1:4">
      <c r="A77" s="59"/>
      <c r="B77" s="59"/>
      <c r="C77" s="59"/>
      <c r="D77" s="26"/>
    </row>
    <row r="78" spans="1:4">
      <c r="A78" s="59"/>
      <c r="B78" s="59"/>
      <c r="C78" s="59"/>
      <c r="D78" s="26"/>
    </row>
    <row r="79" spans="1:4">
      <c r="A79" s="59"/>
      <c r="B79" s="59"/>
      <c r="C79" s="59"/>
      <c r="D79" s="26"/>
    </row>
    <row r="80" spans="1:4">
      <c r="A80" s="59"/>
      <c r="B80" s="59"/>
      <c r="C80" s="59"/>
      <c r="D80" s="26"/>
    </row>
    <row r="81" spans="1:4">
      <c r="A81" s="59"/>
      <c r="B81" s="59"/>
      <c r="C81" s="59"/>
      <c r="D81" s="26"/>
    </row>
    <row r="82" spans="1:4">
      <c r="A82" s="59"/>
      <c r="B82" s="59"/>
      <c r="C82" s="59"/>
      <c r="D82" s="26"/>
    </row>
    <row r="83" spans="1:4">
      <c r="A83" s="59"/>
      <c r="B83" s="59"/>
      <c r="C83" s="59"/>
      <c r="D83" s="26"/>
    </row>
    <row r="84" spans="1:4">
      <c r="A84" s="59"/>
      <c r="B84" s="59"/>
      <c r="C84" s="59"/>
      <c r="D84" s="26"/>
    </row>
    <row r="85" spans="1:4">
      <c r="A85" s="59"/>
      <c r="B85" s="59"/>
      <c r="C85" s="59"/>
      <c r="D85" s="26"/>
    </row>
    <row r="86" spans="1:4">
      <c r="A86" s="59"/>
      <c r="B86" s="59"/>
      <c r="C86" s="59"/>
      <c r="D86" s="26"/>
    </row>
    <row r="87" spans="1:4">
      <c r="A87" s="59"/>
      <c r="B87" s="59"/>
      <c r="C87" s="59"/>
      <c r="D87" s="26"/>
    </row>
    <row r="88" spans="1:4">
      <c r="A88" s="59"/>
      <c r="B88" s="59"/>
      <c r="C88" s="59"/>
      <c r="D88" s="26"/>
    </row>
    <row r="89" spans="1:4">
      <c r="A89" s="59"/>
      <c r="B89" s="59"/>
      <c r="C89" s="59"/>
      <c r="D89" s="26"/>
    </row>
    <row r="90" spans="1:4">
      <c r="A90" s="59"/>
      <c r="B90" s="59"/>
      <c r="C90" s="59"/>
      <c r="D90" s="26"/>
    </row>
    <row r="91" spans="1:4">
      <c r="A91" s="59"/>
      <c r="B91" s="59"/>
      <c r="C91" s="59"/>
      <c r="D91" s="26"/>
    </row>
    <row r="92" spans="1:4">
      <c r="A92" s="59"/>
      <c r="B92" s="59"/>
      <c r="C92" s="59"/>
      <c r="D92" s="26"/>
    </row>
    <row r="93" spans="1:4">
      <c r="A93" s="59"/>
      <c r="B93" s="59"/>
      <c r="C93" s="59"/>
      <c r="D93" s="26"/>
    </row>
    <row r="94" spans="1:4">
      <c r="A94" s="59"/>
      <c r="B94" s="59"/>
      <c r="C94" s="59"/>
      <c r="D94" s="26"/>
    </row>
    <row r="95" spans="1:4">
      <c r="A95" s="59"/>
      <c r="B95" s="59"/>
      <c r="C95" s="59"/>
      <c r="D95" s="26"/>
    </row>
    <row r="96" spans="1:4">
      <c r="A96" s="59"/>
      <c r="B96" s="59"/>
      <c r="C96" s="59"/>
      <c r="D96" s="26"/>
    </row>
    <row r="97" spans="1:4">
      <c r="A97" s="59"/>
      <c r="B97" s="59"/>
      <c r="C97" s="59"/>
      <c r="D97" s="26"/>
    </row>
    <row r="98" spans="1:4">
      <c r="A98" s="59"/>
      <c r="B98" s="59"/>
      <c r="C98" s="59"/>
      <c r="D98" s="26"/>
    </row>
    <row r="99" spans="1:4">
      <c r="A99" s="59"/>
      <c r="B99" s="59"/>
      <c r="C99" s="59"/>
      <c r="D99" s="26"/>
    </row>
  </sheetData>
  <sheetProtection sheet="1" objects="1" scenarios="1" formatColumns="0" formatRows="0"/>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DAC3-292A-4FC2-8C0F-7F7A7016A7C9}">
  <dimension ref="A1:D14"/>
  <sheetViews>
    <sheetView workbookViewId="0" xr3:uid="{86D93C07-3505-50F1-987E-8BCA46D93897}">
      <pane ySplit="2" topLeftCell="A3" activePane="bottomLeft" state="frozen"/>
      <selection pane="bottomLeft" activeCell="H22" sqref="H22"/>
    </sheetView>
  </sheetViews>
  <sheetFormatPr defaultColWidth="9.140625" defaultRowHeight="12.6"/>
  <cols>
    <col min="1" max="1" width="18.28515625" style="16" customWidth="1"/>
    <col min="2" max="2" width="14.7109375" style="16" customWidth="1"/>
    <col min="3" max="3" width="40.7109375" style="16" customWidth="1"/>
    <col min="4" max="4" width="26.7109375" style="16" customWidth="1"/>
    <col min="5" max="16384" width="9.140625" style="16"/>
  </cols>
  <sheetData>
    <row r="1" spans="1:4" ht="20.100000000000001">
      <c r="A1" s="78" t="s">
        <v>215</v>
      </c>
    </row>
    <row r="2" spans="1:4" ht="30.95">
      <c r="A2" s="37" t="s">
        <v>39</v>
      </c>
      <c r="B2" s="37" t="s">
        <v>40</v>
      </c>
      <c r="C2" s="37" t="s">
        <v>41</v>
      </c>
      <c r="D2" s="27" t="s">
        <v>212</v>
      </c>
    </row>
    <row r="3" spans="1:4">
      <c r="A3" s="59" t="str" cm="1">
        <f t="array" ref="A3">_xlfn._xlws.FILTER('Hankintaehtojen kooste'!A177:C188,'Hankintaehtojen kooste'!E177:E188=1,"")</f>
        <v/>
      </c>
      <c r="B3" s="59"/>
      <c r="C3" s="59"/>
      <c r="D3" s="26"/>
    </row>
    <row r="4" spans="1:4">
      <c r="A4" s="59"/>
      <c r="B4" s="59"/>
      <c r="C4" s="59"/>
      <c r="D4" s="26"/>
    </row>
    <row r="5" spans="1:4">
      <c r="A5" s="59"/>
      <c r="B5" s="59"/>
      <c r="C5" s="59"/>
      <c r="D5" s="26"/>
    </row>
    <row r="6" spans="1:4">
      <c r="A6" s="59"/>
      <c r="B6" s="59"/>
      <c r="C6" s="59"/>
      <c r="D6" s="26"/>
    </row>
    <row r="7" spans="1:4">
      <c r="A7" s="59"/>
      <c r="B7" s="59"/>
      <c r="C7" s="59"/>
      <c r="D7" s="26"/>
    </row>
    <row r="8" spans="1:4">
      <c r="A8" s="59"/>
      <c r="B8" s="59"/>
      <c r="C8" s="59"/>
      <c r="D8" s="26"/>
    </row>
    <row r="9" spans="1:4">
      <c r="A9" s="59"/>
      <c r="B9" s="59"/>
      <c r="C9" s="59"/>
      <c r="D9" s="26"/>
    </row>
    <row r="10" spans="1:4">
      <c r="A10" s="59"/>
      <c r="B10" s="59"/>
      <c r="C10" s="59"/>
      <c r="D10" s="26"/>
    </row>
    <row r="11" spans="1:4">
      <c r="A11" s="59"/>
      <c r="B11" s="59"/>
      <c r="C11" s="59"/>
      <c r="D11" s="26"/>
    </row>
    <row r="12" spans="1:4">
      <c r="A12" s="59"/>
      <c r="B12" s="59"/>
      <c r="C12" s="59"/>
      <c r="D12" s="26"/>
    </row>
    <row r="13" spans="1:4">
      <c r="A13" s="59"/>
      <c r="B13" s="59"/>
      <c r="C13" s="59"/>
      <c r="D13" s="26"/>
    </row>
    <row r="14" spans="1:4">
      <c r="A14" s="59"/>
      <c r="B14" s="59"/>
      <c r="C14" s="59"/>
      <c r="D14" s="26"/>
    </row>
  </sheetData>
  <sheetProtection sheet="1" objects="1" scenarios="1" formatColumns="0" formatRows="0"/>
  <pageMargins left="0.25" right="0.25"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9639-871D-47C5-84F5-6E7684E94FBE}">
  <dimension ref="A1:D30"/>
  <sheetViews>
    <sheetView workbookViewId="0" xr3:uid="{257B1848-D8AE-57B5-8300-9432D7C6CFC0}">
      <selection activeCell="A2" sqref="A2"/>
    </sheetView>
  </sheetViews>
  <sheetFormatPr defaultRowHeight="12.6"/>
  <cols>
    <col min="1" max="1" width="16.5703125" customWidth="1"/>
    <col min="2" max="2" width="17.42578125" customWidth="1"/>
    <col min="3" max="3" width="40.140625" customWidth="1"/>
    <col min="4" max="4" width="29.7109375" customWidth="1"/>
  </cols>
  <sheetData>
    <row r="1" spans="1:4" ht="20.100000000000001">
      <c r="A1" s="78" t="s">
        <v>216</v>
      </c>
      <c r="B1" s="64"/>
      <c r="C1" s="64"/>
      <c r="D1" s="64"/>
    </row>
    <row r="2" spans="1:4" ht="30.95">
      <c r="A2" s="37" t="s">
        <v>39</v>
      </c>
      <c r="B2" s="37" t="s">
        <v>40</v>
      </c>
      <c r="C2" s="37" t="s">
        <v>41</v>
      </c>
      <c r="D2" s="27" t="s">
        <v>212</v>
      </c>
    </row>
    <row r="3" spans="1:4">
      <c r="A3" s="59"/>
      <c r="B3" s="59"/>
      <c r="C3" s="59"/>
      <c r="D3" s="25"/>
    </row>
    <row r="4" spans="1:4">
      <c r="A4" s="59"/>
      <c r="B4" s="59"/>
      <c r="C4" s="59"/>
      <c r="D4" s="26"/>
    </row>
    <row r="5" spans="1:4">
      <c r="A5" s="59"/>
      <c r="B5" s="59"/>
      <c r="C5" s="59"/>
      <c r="D5" s="26"/>
    </row>
    <row r="6" spans="1:4">
      <c r="A6" s="59"/>
      <c r="B6" s="59"/>
      <c r="C6" s="59"/>
      <c r="D6" s="26"/>
    </row>
    <row r="7" spans="1:4">
      <c r="A7" s="59"/>
      <c r="B7" s="59"/>
      <c r="C7" s="59"/>
      <c r="D7" s="26"/>
    </row>
    <row r="8" spans="1:4">
      <c r="A8" s="59"/>
      <c r="B8" s="59"/>
      <c r="C8" s="59"/>
      <c r="D8" s="26"/>
    </row>
    <row r="9" spans="1:4">
      <c r="A9" s="59"/>
      <c r="B9" s="59"/>
      <c r="C9" s="59"/>
      <c r="D9" s="26"/>
    </row>
    <row r="10" spans="1:4">
      <c r="A10" s="59"/>
      <c r="B10" s="59"/>
      <c r="C10" s="59"/>
      <c r="D10" s="26"/>
    </row>
    <row r="11" spans="1:4">
      <c r="A11" s="59"/>
      <c r="B11" s="59"/>
      <c r="C11" s="59"/>
      <c r="D11" s="26"/>
    </row>
    <row r="12" spans="1:4">
      <c r="A12" s="59"/>
      <c r="B12" s="59"/>
      <c r="C12" s="59"/>
      <c r="D12" s="26"/>
    </row>
    <row r="13" spans="1:4">
      <c r="A13" s="59"/>
      <c r="B13" s="59"/>
      <c r="C13" s="59"/>
      <c r="D13" s="26"/>
    </row>
    <row r="14" spans="1:4">
      <c r="A14" s="59"/>
      <c r="B14" s="59"/>
      <c r="C14" s="59"/>
      <c r="D14" s="26"/>
    </row>
    <row r="15" spans="1:4">
      <c r="A15" s="59"/>
      <c r="B15" s="59"/>
      <c r="C15" s="59"/>
      <c r="D15" s="26"/>
    </row>
    <row r="16" spans="1:4">
      <c r="A16" s="59"/>
      <c r="B16" s="59"/>
      <c r="C16" s="59"/>
      <c r="D16" s="26"/>
    </row>
    <row r="17" spans="1:4">
      <c r="A17" s="59"/>
      <c r="B17" s="59"/>
      <c r="C17" s="59"/>
      <c r="D17" s="26"/>
    </row>
    <row r="18" spans="1:4">
      <c r="A18" s="59"/>
      <c r="B18" s="59"/>
      <c r="C18" s="59"/>
      <c r="D18" s="26"/>
    </row>
    <row r="19" spans="1:4">
      <c r="A19" s="59"/>
      <c r="B19" s="59"/>
      <c r="C19" s="59"/>
      <c r="D19" s="26"/>
    </row>
    <row r="20" spans="1:4">
      <c r="A20" s="59"/>
      <c r="B20" s="59"/>
      <c r="C20" s="59"/>
      <c r="D20" s="26"/>
    </row>
    <row r="21" spans="1:4">
      <c r="A21" s="59"/>
      <c r="B21" s="59"/>
      <c r="C21" s="59"/>
      <c r="D21" s="26"/>
    </row>
    <row r="22" spans="1:4">
      <c r="A22" s="59"/>
      <c r="B22" s="59"/>
      <c r="C22" s="59"/>
      <c r="D22" s="26"/>
    </row>
    <row r="23" spans="1:4">
      <c r="A23" s="59"/>
      <c r="B23" s="59"/>
      <c r="C23" s="59"/>
      <c r="D23" s="26"/>
    </row>
    <row r="24" spans="1:4">
      <c r="A24" s="59"/>
      <c r="B24" s="59"/>
      <c r="C24" s="59"/>
      <c r="D24" s="26"/>
    </row>
    <row r="25" spans="1:4">
      <c r="A25" s="59"/>
      <c r="B25" s="59"/>
      <c r="C25" s="59"/>
      <c r="D25" s="26"/>
    </row>
    <row r="26" spans="1:4">
      <c r="A26" s="59"/>
      <c r="B26" s="59"/>
      <c r="C26" s="59"/>
      <c r="D26" s="26"/>
    </row>
    <row r="27" spans="1:4">
      <c r="A27" s="59"/>
      <c r="B27" s="59"/>
      <c r="C27" s="59"/>
      <c r="D27" s="26"/>
    </row>
    <row r="28" spans="1:4">
      <c r="A28" s="59"/>
      <c r="B28" s="59"/>
      <c r="C28" s="59"/>
      <c r="D28" s="26"/>
    </row>
    <row r="29" spans="1:4">
      <c r="A29" s="59"/>
      <c r="B29" s="59"/>
      <c r="C29" s="59"/>
      <c r="D29" s="26"/>
    </row>
    <row r="30" spans="1:4">
      <c r="A30" s="59"/>
      <c r="B30" s="59"/>
      <c r="C30" s="59"/>
      <c r="D30" s="2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C6D2-5AE6-45B3-8B43-AE7C6CC3AA6E}">
  <dimension ref="A1:B11"/>
  <sheetViews>
    <sheetView workbookViewId="0" xr3:uid="{54986028-3474-51AE-B3BA-BE4E2105A09E}">
      <selection activeCell="B36" sqref="B36"/>
    </sheetView>
  </sheetViews>
  <sheetFormatPr defaultColWidth="8.7109375" defaultRowHeight="12.6"/>
  <cols>
    <col min="1" max="1" width="25.140625" customWidth="1"/>
    <col min="2" max="2" width="102" customWidth="1"/>
  </cols>
  <sheetData>
    <row r="1" spans="1:2" ht="12.95">
      <c r="A1" s="30" t="s">
        <v>40</v>
      </c>
      <c r="B1" s="30" t="s">
        <v>217</v>
      </c>
    </row>
    <row r="2" spans="1:2" ht="50.1">
      <c r="A2" s="31" t="s">
        <v>218</v>
      </c>
      <c r="B2" s="31" t="s">
        <v>219</v>
      </c>
    </row>
    <row r="3" spans="1:2" ht="62.45">
      <c r="A3" s="31" t="s">
        <v>220</v>
      </c>
      <c r="B3" s="59" t="s">
        <v>221</v>
      </c>
    </row>
    <row r="4" spans="1:2" ht="62.45">
      <c r="A4" s="31" t="s">
        <v>222</v>
      </c>
      <c r="B4" s="59" t="s">
        <v>223</v>
      </c>
    </row>
    <row r="5" spans="1:2">
      <c r="A5" s="25" t="s">
        <v>224</v>
      </c>
      <c r="B5" s="31"/>
    </row>
    <row r="6" spans="1:2">
      <c r="A6" s="25" t="s">
        <v>224</v>
      </c>
      <c r="B6" s="31"/>
    </row>
    <row r="7" spans="1:2">
      <c r="A7" s="25" t="s">
        <v>224</v>
      </c>
      <c r="B7" s="26"/>
    </row>
    <row r="8" spans="1:2">
      <c r="A8" s="25" t="s">
        <v>224</v>
      </c>
      <c r="B8" s="26"/>
    </row>
    <row r="9" spans="1:2">
      <c r="A9" s="25" t="s">
        <v>224</v>
      </c>
      <c r="B9" s="26"/>
    </row>
    <row r="10" spans="1:2">
      <c r="A10" s="25" t="s">
        <v>224</v>
      </c>
      <c r="B10" s="26"/>
    </row>
    <row r="11" spans="1:2">
      <c r="A11" s="25" t="s">
        <v>224</v>
      </c>
      <c r="B11" s="25"/>
    </row>
  </sheetData>
  <sheetProtection sheet="1" formatCells="0" formatColumns="0" formatRows="0"/>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68A7-770A-43A0-8B7F-175E2169D2F8}">
  <dimension ref="A1:P223"/>
  <sheetViews>
    <sheetView zoomScaleNormal="100" workbookViewId="0" xr3:uid="{BD0D198B-2997-57C3-BEBA-5F911EC2AFE8}">
      <pane ySplit="1" topLeftCell="A2" activePane="bottomLeft" state="frozen"/>
      <selection pane="bottomLeft" activeCell="L30" sqref="L30"/>
    </sheetView>
  </sheetViews>
  <sheetFormatPr defaultColWidth="9.140625" defaultRowHeight="12.6"/>
  <cols>
    <col min="1" max="1" width="8" style="4" bestFit="1" customWidth="1"/>
    <col min="2" max="2" width="17.28515625" style="4" bestFit="1" customWidth="1"/>
    <col min="3" max="3" width="9.140625" style="4"/>
    <col min="4" max="4" width="9.7109375" style="4" customWidth="1"/>
    <col min="5" max="5" width="9.42578125" style="4" bestFit="1" customWidth="1"/>
    <col min="6" max="6" width="58.85546875" style="16" customWidth="1"/>
    <col min="7" max="16" width="9.85546875" style="11" customWidth="1"/>
    <col min="17" max="16384" width="9.140625" style="4"/>
  </cols>
  <sheetData>
    <row r="1" spans="1:16" s="11" customFormat="1" ht="126.6" thickBot="1">
      <c r="A1" s="14" t="s">
        <v>39</v>
      </c>
      <c r="B1" s="14" t="s">
        <v>225</v>
      </c>
      <c r="C1" s="14" t="s">
        <v>226</v>
      </c>
      <c r="D1" s="14" t="s">
        <v>227</v>
      </c>
      <c r="E1" s="14" t="s">
        <v>36</v>
      </c>
      <c r="F1" s="15" t="s">
        <v>40</v>
      </c>
      <c r="G1" s="50" t="str">
        <f>Käyttötapauskuvaukset!A2</f>
        <v>SaaS-pilvipalvelun hankinta</v>
      </c>
      <c r="H1" s="50" t="str">
        <f>Käyttötapauskuvaukset!A3</f>
        <v>Asiantuntijatyön hankinta</v>
      </c>
      <c r="I1" s="50" t="str">
        <f>Käyttötapauskuvaukset!A4</f>
        <v>Tietojenkäsittely-ympäristön hankinta</v>
      </c>
      <c r="J1" s="50" t="str">
        <f>Käyttötapauskuvaukset!A5</f>
        <v>Ei määritelty</v>
      </c>
      <c r="K1" s="50" t="str">
        <f>Käyttötapauskuvaukset!A6</f>
        <v>Ei määritelty</v>
      </c>
      <c r="L1" s="50" t="str">
        <f>Käyttötapauskuvaukset!A7</f>
        <v>Ei määritelty</v>
      </c>
      <c r="M1" s="50" t="str">
        <f>Käyttötapauskuvaukset!A8</f>
        <v>Ei määritelty</v>
      </c>
      <c r="N1" s="50" t="str">
        <f>Käyttötapauskuvaukset!A9</f>
        <v>Ei määritelty</v>
      </c>
      <c r="O1" s="50" t="str">
        <f>Käyttötapauskuvaukset!A10</f>
        <v>Ei määritelty</v>
      </c>
      <c r="P1" s="50" t="str">
        <f>Käyttötapauskuvaukset!A11</f>
        <v>Ei määritelty</v>
      </c>
    </row>
    <row r="2" spans="1:16" ht="12.95">
      <c r="A2" s="13" t="str">
        <f>Kriteeristö!C2</f>
        <v>HAL-01</v>
      </c>
      <c r="B2" s="12" t="str">
        <f>Kriteeristö!E2</f>
        <v>Julkinen</v>
      </c>
      <c r="C2" s="12" t="str">
        <f>Kriteeristö!F2</f>
        <v>Vähäinen</v>
      </c>
      <c r="D2" s="12" t="str">
        <f>Kriteeristö!G2</f>
        <v>Vähäinen</v>
      </c>
      <c r="E2" s="12" t="str">
        <f>Kriteeristö!H2</f>
        <v>Henkilötieto</v>
      </c>
      <c r="F2" s="34" t="str">
        <f>Kriteeristö!L2</f>
        <v>Periaatteet</v>
      </c>
      <c r="G2" s="49">
        <v>1</v>
      </c>
      <c r="H2" s="49">
        <v>2</v>
      </c>
      <c r="I2" s="49">
        <v>2</v>
      </c>
      <c r="J2" s="49">
        <v>0</v>
      </c>
      <c r="K2" s="49">
        <v>0</v>
      </c>
      <c r="L2" s="49">
        <v>0</v>
      </c>
      <c r="M2" s="49">
        <v>0</v>
      </c>
      <c r="N2" s="49">
        <v>0</v>
      </c>
      <c r="O2" s="49">
        <v>0</v>
      </c>
      <c r="P2" s="49">
        <v>0</v>
      </c>
    </row>
    <row r="3" spans="1:16" ht="12.95">
      <c r="A3" s="13" t="str">
        <f>Kriteeristö!C3</f>
        <v>HAL-02</v>
      </c>
      <c r="B3" s="12" t="str">
        <f>Kriteeristö!E3</f>
        <v>Julkinen</v>
      </c>
      <c r="C3" s="12" t="str">
        <f>Kriteeristö!F3</f>
        <v>Vähäinen</v>
      </c>
      <c r="D3" s="12" t="str">
        <f>Kriteeristö!G3</f>
        <v>Vähäinen</v>
      </c>
      <c r="E3" s="12" t="str">
        <f>Kriteeristö!H3</f>
        <v>Henkilötieto</v>
      </c>
      <c r="F3" s="34" t="str">
        <f>Kriteeristö!L3</f>
        <v>Tehtävät ja vastuut</v>
      </c>
      <c r="G3" s="49">
        <v>1</v>
      </c>
      <c r="H3" s="49">
        <v>2</v>
      </c>
      <c r="I3" s="49">
        <v>1</v>
      </c>
      <c r="J3" s="49">
        <v>0</v>
      </c>
      <c r="K3" s="49">
        <v>0</v>
      </c>
      <c r="L3" s="49">
        <v>0</v>
      </c>
      <c r="M3" s="49">
        <v>0</v>
      </c>
      <c r="N3" s="49">
        <v>0</v>
      </c>
      <c r="O3" s="49">
        <v>0</v>
      </c>
      <c r="P3" s="49">
        <v>0</v>
      </c>
    </row>
    <row r="4" spans="1:16" ht="12.95">
      <c r="A4" s="13" t="str">
        <f>Kriteeristö!C4</f>
        <v>HAL-02.1</v>
      </c>
      <c r="B4" s="12" t="str">
        <f>Kriteeristö!E4</f>
        <v>Salassa pidettävä</v>
      </c>
      <c r="C4" s="12" t="str">
        <f>Kriteeristö!F4</f>
        <v>Tärkeä</v>
      </c>
      <c r="D4" s="12" t="str">
        <f>Kriteeristö!G4</f>
        <v>Tärkeä</v>
      </c>
      <c r="E4" s="12" t="str">
        <f>Kriteeristö!H4</f>
        <v>Erityinen henkilötietoryhmä</v>
      </c>
      <c r="F4" s="34" t="str">
        <f>Kriteeristö!L4</f>
        <v>Tehtävät ja vastuut - tehtävien eriyttäminen</v>
      </c>
      <c r="G4" s="49">
        <v>1</v>
      </c>
      <c r="H4" s="49">
        <v>0</v>
      </c>
      <c r="I4" s="49">
        <v>2</v>
      </c>
      <c r="J4" s="49">
        <v>0</v>
      </c>
      <c r="K4" s="49">
        <v>0</v>
      </c>
      <c r="L4" s="49">
        <v>0</v>
      </c>
      <c r="M4" s="49">
        <v>0</v>
      </c>
      <c r="N4" s="49">
        <v>0</v>
      </c>
      <c r="O4" s="49">
        <v>0</v>
      </c>
      <c r="P4" s="49">
        <v>0</v>
      </c>
    </row>
    <row r="5" spans="1:16" ht="12.95">
      <c r="A5" s="13" t="str">
        <f>Kriteeristö!C5</f>
        <v>HAL-03</v>
      </c>
      <c r="B5" s="12" t="str">
        <f>Kriteeristö!E5</f>
        <v>Julkinen</v>
      </c>
      <c r="C5" s="12" t="str">
        <f>Kriteeristö!F5</f>
        <v>Vähäinen</v>
      </c>
      <c r="D5" s="12" t="str">
        <f>Kriteeristö!G5</f>
        <v>Vähäinen</v>
      </c>
      <c r="E5" s="12" t="str">
        <f>Kriteeristö!H5</f>
        <v>Henkilötieto</v>
      </c>
      <c r="F5" s="34" t="str">
        <f>Kriteeristö!L5</f>
        <v>Resurssit</v>
      </c>
      <c r="G5" s="49">
        <v>2</v>
      </c>
      <c r="H5" s="49">
        <v>2</v>
      </c>
      <c r="I5" s="49">
        <v>1</v>
      </c>
      <c r="J5" s="49">
        <v>0</v>
      </c>
      <c r="K5" s="49">
        <v>0</v>
      </c>
      <c r="L5" s="49">
        <v>0</v>
      </c>
      <c r="M5" s="49">
        <v>0</v>
      </c>
      <c r="N5" s="49">
        <v>0</v>
      </c>
      <c r="O5" s="49">
        <v>0</v>
      </c>
      <c r="P5" s="49">
        <v>0</v>
      </c>
    </row>
    <row r="6" spans="1:16" ht="12.95">
      <c r="A6" s="13" t="str">
        <f>Kriteeristö!C6</f>
        <v>HAL-04</v>
      </c>
      <c r="B6" s="12" t="str">
        <f>Kriteeristö!E6</f>
        <v>Julkinen</v>
      </c>
      <c r="C6" s="12" t="str">
        <f>Kriteeristö!F6</f>
        <v>Vähäinen</v>
      </c>
      <c r="D6" s="12" t="str">
        <f>Kriteeristö!G6</f>
        <v>Vähäinen</v>
      </c>
      <c r="E6" s="12" t="str">
        <f>Kriteeristö!H6</f>
        <v>Henkilötieto</v>
      </c>
      <c r="F6" s="34" t="str">
        <f>Kriteeristö!L6</f>
        <v>Suojattavat kohteet</v>
      </c>
      <c r="G6" s="49">
        <v>1</v>
      </c>
      <c r="H6" s="49">
        <v>2</v>
      </c>
      <c r="I6" s="49">
        <v>2</v>
      </c>
      <c r="J6" s="49">
        <v>0</v>
      </c>
      <c r="K6" s="49">
        <v>0</v>
      </c>
      <c r="L6" s="49">
        <v>0</v>
      </c>
      <c r="M6" s="49">
        <v>0</v>
      </c>
      <c r="N6" s="49">
        <v>0</v>
      </c>
      <c r="O6" s="49">
        <v>0</v>
      </c>
      <c r="P6" s="49">
        <v>0</v>
      </c>
    </row>
    <row r="7" spans="1:16" ht="12.95">
      <c r="A7" s="13" t="str">
        <f>Kriteeristö!C7</f>
        <v>HAL-04.1</v>
      </c>
      <c r="B7" s="12" t="str">
        <f>Kriteeristö!E7</f>
        <v>Julkinen</v>
      </c>
      <c r="C7" s="12" t="str">
        <f>Kriteeristö!F7</f>
        <v>Vähäinen</v>
      </c>
      <c r="D7" s="12" t="str">
        <f>Kriteeristö!G7</f>
        <v>Vähäinen</v>
      </c>
      <c r="E7" s="12" t="str">
        <f>Kriteeristö!H7</f>
        <v>Henkilötieto</v>
      </c>
      <c r="F7" s="34" t="str">
        <f>Kriteeristö!L7</f>
        <v>Suojattavat kohteet - vastuut</v>
      </c>
      <c r="G7" s="49">
        <v>1</v>
      </c>
      <c r="H7" s="49">
        <v>0</v>
      </c>
      <c r="I7" s="49">
        <v>2</v>
      </c>
      <c r="J7" s="49">
        <v>0</v>
      </c>
      <c r="K7" s="49">
        <v>0</v>
      </c>
      <c r="L7" s="49">
        <v>0</v>
      </c>
      <c r="M7" s="49">
        <v>0</v>
      </c>
      <c r="N7" s="49">
        <v>0</v>
      </c>
      <c r="O7" s="49">
        <v>0</v>
      </c>
      <c r="P7" s="49">
        <v>0</v>
      </c>
    </row>
    <row r="8" spans="1:16" ht="12.95">
      <c r="A8" s="13" t="str">
        <f>Kriteeristö!C8</f>
        <v>HAL-04.2</v>
      </c>
      <c r="B8" s="12" t="str">
        <f>Kriteeristö!E8</f>
        <v>Julkinen</v>
      </c>
      <c r="C8" s="12" t="str">
        <f>Kriteeristö!F8</f>
        <v>Vähäinen</v>
      </c>
      <c r="D8" s="12" t="str">
        <f>Kriteeristö!G8</f>
        <v>Vähäinen</v>
      </c>
      <c r="E8" s="12" t="str">
        <f>Kriteeristö!H8</f>
        <v>Henkilötieto</v>
      </c>
      <c r="F8" s="34" t="str">
        <f>Kriteeristö!L8</f>
        <v>Suojattavat kohteet - luokittelu</v>
      </c>
      <c r="G8" s="49">
        <v>1</v>
      </c>
      <c r="H8" s="49">
        <v>0</v>
      </c>
      <c r="I8" s="49">
        <v>2</v>
      </c>
      <c r="J8" s="49">
        <v>0</v>
      </c>
      <c r="K8" s="49">
        <v>0</v>
      </c>
      <c r="L8" s="49">
        <v>0</v>
      </c>
      <c r="M8" s="49">
        <v>0</v>
      </c>
      <c r="N8" s="49">
        <v>0</v>
      </c>
      <c r="O8" s="49">
        <v>0</v>
      </c>
      <c r="P8" s="49">
        <v>0</v>
      </c>
    </row>
    <row r="9" spans="1:16" ht="12.95">
      <c r="A9" s="13" t="str">
        <f>Kriteeristö!C9</f>
        <v>HAL-04.3</v>
      </c>
      <c r="B9" s="12" t="str">
        <f>Kriteeristö!E9</f>
        <v>Salassa pidettävä</v>
      </c>
      <c r="C9" s="12">
        <f>Kriteeristö!F9</f>
        <v>0</v>
      </c>
      <c r="D9" s="12">
        <f>Kriteeristö!G9</f>
        <v>0</v>
      </c>
      <c r="E9" s="12" t="str">
        <f>Kriteeristö!H9</f>
        <v>Erityinen henkilötietoryhmä</v>
      </c>
      <c r="F9" s="34" t="str">
        <f>Kriteeristö!L9</f>
        <v>Suojattavat kohteet - kasautumisvaikutus</v>
      </c>
      <c r="G9" s="49">
        <v>1</v>
      </c>
      <c r="H9" s="49">
        <v>0</v>
      </c>
      <c r="I9" s="49">
        <v>2</v>
      </c>
      <c r="J9" s="49">
        <v>0</v>
      </c>
      <c r="K9" s="49">
        <v>0</v>
      </c>
      <c r="L9" s="49">
        <v>0</v>
      </c>
      <c r="M9" s="49">
        <v>0</v>
      </c>
      <c r="N9" s="49">
        <v>0</v>
      </c>
      <c r="O9" s="49">
        <v>0</v>
      </c>
      <c r="P9" s="49">
        <v>0</v>
      </c>
    </row>
    <row r="10" spans="1:16" ht="12.95">
      <c r="A10" s="13" t="str">
        <f>Kriteeristö!C10</f>
        <v>HAL-04.4</v>
      </c>
      <c r="B10" s="12" t="str">
        <f>Kriteeristö!E10</f>
        <v>Salassa pidettävä</v>
      </c>
      <c r="C10" s="12">
        <f>Kriteeristö!F10</f>
        <v>0</v>
      </c>
      <c r="D10" s="12">
        <f>Kriteeristö!G10</f>
        <v>0</v>
      </c>
      <c r="E10" s="12" t="str">
        <f>Kriteeristö!H10</f>
        <v>Erityinen henkilötietoryhmä</v>
      </c>
      <c r="F10" s="34" t="str">
        <f>Kriteeristö!L10</f>
        <v>Suojattavat kohteet - merkitseminen</v>
      </c>
      <c r="G10" s="49">
        <v>1</v>
      </c>
      <c r="H10" s="49">
        <v>0</v>
      </c>
      <c r="I10" s="49">
        <v>2</v>
      </c>
      <c r="J10" s="49">
        <v>0</v>
      </c>
      <c r="K10" s="49">
        <v>0</v>
      </c>
      <c r="L10" s="49">
        <v>0</v>
      </c>
      <c r="M10" s="49">
        <v>0</v>
      </c>
      <c r="N10" s="49">
        <v>0</v>
      </c>
      <c r="O10" s="49">
        <v>0</v>
      </c>
      <c r="P10" s="49">
        <v>0</v>
      </c>
    </row>
    <row r="11" spans="1:16" ht="12.95">
      <c r="A11" s="13" t="str">
        <f>Kriteeristö!C11</f>
        <v>HAL-04.5</v>
      </c>
      <c r="B11" s="12" t="str">
        <f>Kriteeristö!E11</f>
        <v>Julkinen</v>
      </c>
      <c r="C11" s="12" t="str">
        <f>Kriteeristö!F11</f>
        <v>Vähäinen</v>
      </c>
      <c r="D11" s="12" t="str">
        <f>Kriteeristö!G11</f>
        <v>Vähäinen</v>
      </c>
      <c r="E11" s="12" t="str">
        <f>Kriteeristö!H11</f>
        <v>Henkilötieto</v>
      </c>
      <c r="F11" s="34" t="str">
        <f>Kriteeristö!L11</f>
        <v>Suojattavat kohteet - riippuvuudet</v>
      </c>
      <c r="G11" s="49">
        <v>1</v>
      </c>
      <c r="H11" s="49">
        <v>0</v>
      </c>
      <c r="I11" s="49">
        <v>1</v>
      </c>
      <c r="J11" s="49">
        <v>0</v>
      </c>
      <c r="K11" s="49">
        <v>0</v>
      </c>
      <c r="L11" s="49">
        <v>0</v>
      </c>
      <c r="M11" s="49">
        <v>0</v>
      </c>
      <c r="N11" s="49">
        <v>0</v>
      </c>
      <c r="O11" s="49">
        <v>0</v>
      </c>
      <c r="P11" s="49">
        <v>0</v>
      </c>
    </row>
    <row r="12" spans="1:16" ht="12.95">
      <c r="A12" s="13" t="str">
        <f>Kriteeristö!C12</f>
        <v>HAL-04.6</v>
      </c>
      <c r="B12" s="12" t="str">
        <f>Kriteeristö!E12</f>
        <v>Julkinen</v>
      </c>
      <c r="C12" s="12" t="str">
        <f>Kriteeristö!F12</f>
        <v>Vähäinen</v>
      </c>
      <c r="D12" s="12" t="str">
        <f>Kriteeristö!G12</f>
        <v>Vähäinen</v>
      </c>
      <c r="E12" s="12" t="str">
        <f>Kriteeristö!H12</f>
        <v>Henkilötieto</v>
      </c>
      <c r="F12" s="34" t="str">
        <f>Kriteeristö!L12</f>
        <v>Suojattavat kohteet - sidosryhmät</v>
      </c>
      <c r="G12" s="49">
        <v>1</v>
      </c>
      <c r="H12" s="49">
        <v>0</v>
      </c>
      <c r="I12" s="49">
        <v>1</v>
      </c>
      <c r="J12" s="49">
        <v>0</v>
      </c>
      <c r="K12" s="49">
        <v>0</v>
      </c>
      <c r="L12" s="49">
        <v>0</v>
      </c>
      <c r="M12" s="49">
        <v>0</v>
      </c>
      <c r="N12" s="49">
        <v>0</v>
      </c>
      <c r="O12" s="49">
        <v>0</v>
      </c>
      <c r="P12" s="49">
        <v>0</v>
      </c>
    </row>
    <row r="13" spans="1:16" ht="12.95">
      <c r="A13" s="13" t="str">
        <f>Kriteeristö!C13</f>
        <v>HAL-05</v>
      </c>
      <c r="B13" s="12" t="str">
        <f>Kriteeristö!E13</f>
        <v>Julkinen</v>
      </c>
      <c r="C13" s="12" t="str">
        <f>Kriteeristö!F13</f>
        <v>Vähäinen</v>
      </c>
      <c r="D13" s="12" t="str">
        <f>Kriteeristö!G13</f>
        <v>Vähäinen</v>
      </c>
      <c r="E13" s="12" t="str">
        <f>Kriteeristö!H13</f>
        <v>Henkilötieto</v>
      </c>
      <c r="F13" s="34" t="str">
        <f>Kriteeristö!L13</f>
        <v>Vaatimukset</v>
      </c>
      <c r="G13" s="49">
        <v>1</v>
      </c>
      <c r="H13" s="49">
        <v>1</v>
      </c>
      <c r="I13" s="49">
        <v>1</v>
      </c>
      <c r="J13" s="49">
        <v>0</v>
      </c>
      <c r="K13" s="49">
        <v>0</v>
      </c>
      <c r="L13" s="49">
        <v>0</v>
      </c>
      <c r="M13" s="49">
        <v>0</v>
      </c>
      <c r="N13" s="49">
        <v>0</v>
      </c>
      <c r="O13" s="49">
        <v>0</v>
      </c>
      <c r="P13" s="49">
        <v>0</v>
      </c>
    </row>
    <row r="14" spans="1:16" ht="12.95">
      <c r="A14" s="13" t="str">
        <f>Kriteeristö!C14</f>
        <v>HAL-05.1</v>
      </c>
      <c r="B14" s="12" t="str">
        <f>Kriteeristö!E14</f>
        <v>Julkinen</v>
      </c>
      <c r="C14" s="12" t="str">
        <f>Kriteeristö!F14</f>
        <v>Vähäinen</v>
      </c>
      <c r="D14" s="12" t="str">
        <f>Kriteeristö!G14</f>
        <v>Vähäinen</v>
      </c>
      <c r="E14" s="12" t="str">
        <f>Kriteeristö!H14</f>
        <v>Henkilötieto</v>
      </c>
      <c r="F14" s="34" t="str">
        <f>Kriteeristö!L14</f>
        <v>Vaatimukset - seuranta</v>
      </c>
      <c r="G14" s="49">
        <v>2</v>
      </c>
      <c r="H14" s="49">
        <v>1</v>
      </c>
      <c r="I14" s="49">
        <v>2</v>
      </c>
      <c r="J14" s="49">
        <v>0</v>
      </c>
      <c r="K14" s="49">
        <v>0</v>
      </c>
      <c r="L14" s="49">
        <v>0</v>
      </c>
      <c r="M14" s="49">
        <v>0</v>
      </c>
      <c r="N14" s="49">
        <v>0</v>
      </c>
      <c r="O14" s="49">
        <v>0</v>
      </c>
      <c r="P14" s="49">
        <v>0</v>
      </c>
    </row>
    <row r="15" spans="1:16" ht="12.95">
      <c r="A15" s="13" t="str">
        <f>Kriteeristö!C15</f>
        <v>HAL-05.2</v>
      </c>
      <c r="B15" s="12" t="str">
        <f>Kriteeristö!E15</f>
        <v>Julkinen</v>
      </c>
      <c r="C15" s="12" t="str">
        <f>Kriteeristö!F15</f>
        <v>Vähäinen</v>
      </c>
      <c r="D15" s="12" t="str">
        <f>Kriteeristö!G15</f>
        <v>Vähäinen</v>
      </c>
      <c r="E15" s="12" t="str">
        <f>Kriteeristö!H15</f>
        <v>Henkilötieto</v>
      </c>
      <c r="F15" s="34" t="str">
        <f>Kriteeristö!L15</f>
        <v>Vaatimukset - muutosvaikutukset</v>
      </c>
      <c r="G15" s="49">
        <v>2</v>
      </c>
      <c r="H15" s="49">
        <v>2</v>
      </c>
      <c r="I15" s="49">
        <v>2</v>
      </c>
      <c r="J15" s="49">
        <v>0</v>
      </c>
      <c r="K15" s="49">
        <v>0</v>
      </c>
      <c r="L15" s="49">
        <v>0</v>
      </c>
      <c r="M15" s="49">
        <v>0</v>
      </c>
      <c r="N15" s="49">
        <v>0</v>
      </c>
      <c r="O15" s="49">
        <v>0</v>
      </c>
      <c r="P15" s="49">
        <v>0</v>
      </c>
    </row>
    <row r="16" spans="1:16" ht="12.95">
      <c r="A16" s="13" t="str">
        <f>Kriteeristö!C16</f>
        <v>HAL-06</v>
      </c>
      <c r="B16" s="12" t="str">
        <f>Kriteeristö!E16</f>
        <v>Julkinen</v>
      </c>
      <c r="C16" s="12" t="str">
        <f>Kriteeristö!F16</f>
        <v>Vähäinen</v>
      </c>
      <c r="D16" s="12" t="str">
        <f>Kriteeristö!G16</f>
        <v>Vähäinen</v>
      </c>
      <c r="E16" s="12" t="str">
        <f>Kriteeristö!H16</f>
        <v>Henkilötieto</v>
      </c>
      <c r="F16" s="34" t="str">
        <f>Kriteeristö!L16</f>
        <v>Riskienhallinta</v>
      </c>
      <c r="G16" s="49">
        <v>1</v>
      </c>
      <c r="H16" s="49">
        <v>1</v>
      </c>
      <c r="I16" s="49">
        <v>1</v>
      </c>
      <c r="J16" s="49">
        <v>0</v>
      </c>
      <c r="K16" s="49">
        <v>0</v>
      </c>
      <c r="L16" s="49">
        <v>0</v>
      </c>
      <c r="M16" s="49">
        <v>0</v>
      </c>
      <c r="N16" s="49">
        <v>0</v>
      </c>
      <c r="O16" s="49">
        <v>0</v>
      </c>
      <c r="P16" s="49">
        <v>0</v>
      </c>
    </row>
    <row r="17" spans="1:16" ht="12.95">
      <c r="A17" s="13" t="str">
        <f>Kriteeristö!C17</f>
        <v>HAL-06.1</v>
      </c>
      <c r="B17" s="12" t="str">
        <f>Kriteeristö!E17</f>
        <v>Salassa pidettävä</v>
      </c>
      <c r="C17" s="12">
        <f>Kriteeristö!F17</f>
        <v>0</v>
      </c>
      <c r="D17" s="12">
        <f>Kriteeristö!G17</f>
        <v>0</v>
      </c>
      <c r="E17" s="12" t="str">
        <f>Kriteeristö!H17</f>
        <v>Henkilötieto</v>
      </c>
      <c r="F17" s="34" t="str">
        <f>Kriteeristö!L17</f>
        <v>Riskienhallinta - lainsäädäntöjohdannaiset riskit</v>
      </c>
      <c r="G17" s="49">
        <v>1</v>
      </c>
      <c r="H17" s="49">
        <v>1</v>
      </c>
      <c r="I17" s="49">
        <v>1</v>
      </c>
      <c r="J17" s="49">
        <v>0</v>
      </c>
      <c r="K17" s="49">
        <v>0</v>
      </c>
      <c r="L17" s="49">
        <v>0</v>
      </c>
      <c r="M17" s="49">
        <v>0</v>
      </c>
      <c r="N17" s="49">
        <v>0</v>
      </c>
      <c r="O17" s="49">
        <v>0</v>
      </c>
      <c r="P17" s="49">
        <v>0</v>
      </c>
    </row>
    <row r="18" spans="1:16" ht="12.95">
      <c r="A18" s="13" t="str">
        <f>Kriteeristö!C18</f>
        <v>HAL-07</v>
      </c>
      <c r="B18" s="12" t="str">
        <f>Kriteeristö!E18</f>
        <v>Julkinen</v>
      </c>
      <c r="C18" s="12" t="str">
        <f>Kriteeristö!F18</f>
        <v>Vähäinen</v>
      </c>
      <c r="D18" s="12" t="str">
        <f>Kriteeristö!G18</f>
        <v>Vähäinen</v>
      </c>
      <c r="E18" s="12" t="str">
        <f>Kriteeristö!H18</f>
        <v>Henkilötieto</v>
      </c>
      <c r="F18" s="34" t="str">
        <f>Kriteeristö!L18</f>
        <v>Seuranta ja valvonta</v>
      </c>
      <c r="G18" s="49">
        <v>1</v>
      </c>
      <c r="H18" s="49">
        <v>1</v>
      </c>
      <c r="I18" s="49">
        <v>1</v>
      </c>
      <c r="J18" s="49">
        <v>0</v>
      </c>
      <c r="K18" s="49">
        <v>0</v>
      </c>
      <c r="L18" s="49">
        <v>0</v>
      </c>
      <c r="M18" s="49">
        <v>0</v>
      </c>
      <c r="N18" s="49">
        <v>0</v>
      </c>
      <c r="O18" s="49">
        <v>0</v>
      </c>
      <c r="P18" s="49">
        <v>0</v>
      </c>
    </row>
    <row r="19" spans="1:16" ht="12.95">
      <c r="A19" s="13" t="str">
        <f>Kriteeristö!C19</f>
        <v>HAL-07.1</v>
      </c>
      <c r="B19" s="12" t="str">
        <f>Kriteeristö!E19</f>
        <v>Julkinen</v>
      </c>
      <c r="C19" s="12" t="str">
        <f>Kriteeristö!F19</f>
        <v>Vähäinen</v>
      </c>
      <c r="D19" s="12" t="str">
        <f>Kriteeristö!G19</f>
        <v>Vähäinen</v>
      </c>
      <c r="E19" s="12" t="str">
        <f>Kriteeristö!H19</f>
        <v>Henkilötieto</v>
      </c>
      <c r="F19" s="34" t="str">
        <f>Kriteeristö!L19</f>
        <v>Seuranta ja valvonta - tietojen käyttö ja luovutukset</v>
      </c>
      <c r="G19" s="49">
        <v>1</v>
      </c>
      <c r="H19" s="49">
        <v>0</v>
      </c>
      <c r="I19" s="49">
        <v>2</v>
      </c>
      <c r="J19" s="49">
        <v>0</v>
      </c>
      <c r="K19" s="49">
        <v>0</v>
      </c>
      <c r="L19" s="49">
        <v>0</v>
      </c>
      <c r="M19" s="49">
        <v>0</v>
      </c>
      <c r="N19" s="49">
        <v>0</v>
      </c>
      <c r="O19" s="49">
        <v>0</v>
      </c>
      <c r="P19" s="49">
        <v>0</v>
      </c>
    </row>
    <row r="20" spans="1:16" ht="12.95">
      <c r="A20" s="13" t="str">
        <f>Kriteeristö!C20</f>
        <v>HAL-08</v>
      </c>
      <c r="B20" s="12" t="str">
        <f>Kriteeristö!E20</f>
        <v>Julkinen</v>
      </c>
      <c r="C20" s="12" t="str">
        <f>Kriteeristö!F20</f>
        <v>Vähäinen</v>
      </c>
      <c r="D20" s="12" t="str">
        <f>Kriteeristö!G20</f>
        <v>Vähäinen</v>
      </c>
      <c r="E20" s="12" t="str">
        <f>Kriteeristö!H20</f>
        <v>Henkilötieto</v>
      </c>
      <c r="F20" s="34" t="str">
        <f>Kriteeristö!L20</f>
        <v>Häiriöiden hallinta</v>
      </c>
      <c r="G20" s="49">
        <v>1</v>
      </c>
      <c r="H20" s="49">
        <v>1</v>
      </c>
      <c r="I20" s="49">
        <v>1</v>
      </c>
      <c r="J20" s="49">
        <v>0</v>
      </c>
      <c r="K20" s="49">
        <v>0</v>
      </c>
      <c r="L20" s="49">
        <v>0</v>
      </c>
      <c r="M20" s="49">
        <v>0</v>
      </c>
      <c r="N20" s="49">
        <v>0</v>
      </c>
      <c r="O20" s="49">
        <v>0</v>
      </c>
      <c r="P20" s="49">
        <v>0</v>
      </c>
    </row>
    <row r="21" spans="1:16" ht="12.95">
      <c r="A21" s="13" t="str">
        <f>Kriteeristö!C21</f>
        <v>HAL-09</v>
      </c>
      <c r="B21" s="12" t="str">
        <f>Kriteeristö!E21</f>
        <v>Julkinen</v>
      </c>
      <c r="C21" s="12" t="str">
        <f>Kriteeristö!F21</f>
        <v>Vähäinen</v>
      </c>
      <c r="D21" s="12" t="str">
        <f>Kriteeristö!G21</f>
        <v>Vähäinen</v>
      </c>
      <c r="E21" s="12" t="str">
        <f>Kriteeristö!H21</f>
        <v>Henkilötieto</v>
      </c>
      <c r="F21" s="34" t="str">
        <f>Kriteeristö!L21</f>
        <v>Dokumentointi</v>
      </c>
      <c r="G21" s="49">
        <v>1</v>
      </c>
      <c r="H21" s="49">
        <v>2</v>
      </c>
      <c r="I21" s="49">
        <v>1</v>
      </c>
      <c r="J21" s="49">
        <v>0</v>
      </c>
      <c r="K21" s="49">
        <v>0</v>
      </c>
      <c r="L21" s="49">
        <v>0</v>
      </c>
      <c r="M21" s="49">
        <v>0</v>
      </c>
      <c r="N21" s="49">
        <v>0</v>
      </c>
      <c r="O21" s="49">
        <v>0</v>
      </c>
      <c r="P21" s="49">
        <v>0</v>
      </c>
    </row>
    <row r="22" spans="1:16" ht="12.95">
      <c r="A22" s="13" t="str">
        <f>Kriteeristö!C22</f>
        <v>HAL-09.1</v>
      </c>
      <c r="B22" s="12" t="str">
        <f>Kriteeristö!E22</f>
        <v>Julkinen</v>
      </c>
      <c r="C22" s="12" t="str">
        <f>Kriteeristö!F22</f>
        <v>Vähäinen</v>
      </c>
      <c r="D22" s="12" t="str">
        <f>Kriteeristö!G22</f>
        <v>Vähäinen</v>
      </c>
      <c r="E22" s="12" t="str">
        <f>Kriteeristö!H22</f>
        <v>Henkilötieto</v>
      </c>
      <c r="F22" s="34" t="str">
        <f>Kriteeristö!L22</f>
        <v>Dokumentointi - ajantasaisuus</v>
      </c>
      <c r="G22" s="49">
        <v>1</v>
      </c>
      <c r="H22" s="49">
        <v>2</v>
      </c>
      <c r="I22" s="49">
        <v>1</v>
      </c>
      <c r="J22" s="49">
        <v>0</v>
      </c>
      <c r="K22" s="49">
        <v>0</v>
      </c>
      <c r="L22" s="49">
        <v>0</v>
      </c>
      <c r="M22" s="49">
        <v>0</v>
      </c>
      <c r="N22" s="49">
        <v>0</v>
      </c>
      <c r="O22" s="49">
        <v>0</v>
      </c>
      <c r="P22" s="49">
        <v>0</v>
      </c>
    </row>
    <row r="23" spans="1:16" ht="12.95">
      <c r="A23" s="13" t="str">
        <f>Kriteeristö!C23</f>
        <v>HAL-10</v>
      </c>
      <c r="B23" s="12" t="str">
        <f>Kriteeristö!E23</f>
        <v>Julkinen</v>
      </c>
      <c r="C23" s="12" t="str">
        <f>Kriteeristö!F23</f>
        <v>Vähäinen</v>
      </c>
      <c r="D23" s="12" t="str">
        <f>Kriteeristö!G23</f>
        <v>Vähäinen</v>
      </c>
      <c r="E23" s="12" t="str">
        <f>Kriteeristö!H23</f>
        <v>Henkilötieto</v>
      </c>
      <c r="F23" s="34" t="str">
        <f>Kriteeristö!L23</f>
        <v>Henkilöstön luotettavuuden arviointi</v>
      </c>
      <c r="G23" s="49">
        <v>1</v>
      </c>
      <c r="H23" s="49">
        <v>1</v>
      </c>
      <c r="I23" s="49">
        <v>2</v>
      </c>
      <c r="J23" s="49">
        <v>0</v>
      </c>
      <c r="K23" s="49">
        <v>0</v>
      </c>
      <c r="L23" s="49">
        <v>0</v>
      </c>
      <c r="M23" s="49">
        <v>0</v>
      </c>
      <c r="N23" s="49">
        <v>0</v>
      </c>
      <c r="O23" s="49">
        <v>0</v>
      </c>
      <c r="P23" s="49">
        <v>0</v>
      </c>
    </row>
    <row r="24" spans="1:16" ht="12.95">
      <c r="A24" s="13" t="str">
        <f>Kriteeristö!C24</f>
        <v>HAL-10.1</v>
      </c>
      <c r="B24" s="12" t="str">
        <f>Kriteeristö!E24</f>
        <v>Salassa pidettävä</v>
      </c>
      <c r="C24" s="12" t="str">
        <f>Kriteeristö!F24</f>
        <v>Kriittinen</v>
      </c>
      <c r="D24" s="12" t="str">
        <f>Kriteeristö!G24</f>
        <v>Kriittinen</v>
      </c>
      <c r="E24" s="12" t="str">
        <f>Kriteeristö!H24</f>
        <v>Erityinen henkilötietoryhmä</v>
      </c>
      <c r="F24" s="34" t="str">
        <f>Kriteeristö!L24</f>
        <v>Henkilöstön luotettavuuden arviointi - turvallisuusselvitys</v>
      </c>
      <c r="G24" s="49">
        <v>0</v>
      </c>
      <c r="H24" s="49">
        <v>2</v>
      </c>
      <c r="I24" s="49">
        <v>0</v>
      </c>
      <c r="J24" s="49">
        <v>0</v>
      </c>
      <c r="K24" s="49">
        <v>0</v>
      </c>
      <c r="L24" s="49">
        <v>0</v>
      </c>
      <c r="M24" s="49">
        <v>0</v>
      </c>
      <c r="N24" s="49">
        <v>0</v>
      </c>
      <c r="O24" s="49">
        <v>0</v>
      </c>
      <c r="P24" s="49">
        <v>0</v>
      </c>
    </row>
    <row r="25" spans="1:16" ht="12.95">
      <c r="A25" s="13" t="str">
        <f>Kriteeristö!C25</f>
        <v>HAL-11</v>
      </c>
      <c r="B25" s="12" t="str">
        <f>Kriteeristö!E25</f>
        <v>Salassa pidettävä</v>
      </c>
      <c r="C25" s="12">
        <f>Kriteeristö!F25</f>
        <v>0</v>
      </c>
      <c r="D25" s="12">
        <f>Kriteeristö!G25</f>
        <v>0</v>
      </c>
      <c r="E25" s="12" t="str">
        <f>Kriteeristö!H25</f>
        <v>Henkilötieto</v>
      </c>
      <c r="F25" s="34" t="str">
        <f>Kriteeristö!L25</f>
        <v>Salassapito- ja vaitiolovelvollisuus</v>
      </c>
      <c r="G25" s="49">
        <v>1</v>
      </c>
      <c r="H25" s="49">
        <v>1</v>
      </c>
      <c r="I25" s="49">
        <v>1</v>
      </c>
      <c r="J25" s="49">
        <v>0</v>
      </c>
      <c r="K25" s="49">
        <v>0</v>
      </c>
      <c r="L25" s="49">
        <v>0</v>
      </c>
      <c r="M25" s="49">
        <v>0</v>
      </c>
      <c r="N25" s="49">
        <v>0</v>
      </c>
      <c r="O25" s="49">
        <v>0</v>
      </c>
      <c r="P25" s="49">
        <v>0</v>
      </c>
    </row>
    <row r="26" spans="1:16" ht="12.95">
      <c r="A26" s="13" t="str">
        <f>Kriteeristö!C26</f>
        <v>HAL-12</v>
      </c>
      <c r="B26" s="12" t="str">
        <f>Kriteeristö!E26</f>
        <v>Julkinen</v>
      </c>
      <c r="C26" s="12" t="str">
        <f>Kriteeristö!F26</f>
        <v>Vähäinen</v>
      </c>
      <c r="D26" s="12" t="str">
        <f>Kriteeristö!G26</f>
        <v>Vähäinen</v>
      </c>
      <c r="E26" s="12" t="str">
        <f>Kriteeristö!H26</f>
        <v>Henkilötieto</v>
      </c>
      <c r="F26" s="34" t="str">
        <f>Kriteeristö!L26</f>
        <v>Ohjeet</v>
      </c>
      <c r="G26" s="49">
        <v>1</v>
      </c>
      <c r="H26" s="49">
        <v>1</v>
      </c>
      <c r="I26" s="49">
        <v>1</v>
      </c>
      <c r="J26" s="49">
        <v>0</v>
      </c>
      <c r="K26" s="49">
        <v>0</v>
      </c>
      <c r="L26" s="49">
        <v>0</v>
      </c>
      <c r="M26" s="49">
        <v>0</v>
      </c>
      <c r="N26" s="49">
        <v>0</v>
      </c>
      <c r="O26" s="49">
        <v>0</v>
      </c>
      <c r="P26" s="49">
        <v>0</v>
      </c>
    </row>
    <row r="27" spans="1:16" ht="12.95">
      <c r="A27" s="13" t="str">
        <f>Kriteeristö!C27</f>
        <v>HAL-13</v>
      </c>
      <c r="B27" s="12" t="str">
        <f>Kriteeristö!E27</f>
        <v>Julkinen</v>
      </c>
      <c r="C27" s="12" t="str">
        <f>Kriteeristö!F27</f>
        <v>Vähäinen</v>
      </c>
      <c r="D27" s="12" t="str">
        <f>Kriteeristö!G27</f>
        <v>Vähäinen</v>
      </c>
      <c r="E27" s="12" t="str">
        <f>Kriteeristö!H27</f>
        <v>Henkilötieto</v>
      </c>
      <c r="F27" s="34" t="str">
        <f>Kriteeristö!L27</f>
        <v>Koulutukset</v>
      </c>
      <c r="G27" s="49">
        <v>1</v>
      </c>
      <c r="H27" s="49">
        <v>2</v>
      </c>
      <c r="I27" s="49">
        <v>1</v>
      </c>
      <c r="J27" s="49">
        <v>0</v>
      </c>
      <c r="K27" s="49">
        <v>0</v>
      </c>
      <c r="L27" s="49">
        <v>0</v>
      </c>
      <c r="M27" s="49">
        <v>0</v>
      </c>
      <c r="N27" s="49">
        <v>0</v>
      </c>
      <c r="O27" s="49">
        <v>0</v>
      </c>
      <c r="P27" s="49">
        <v>0</v>
      </c>
    </row>
    <row r="28" spans="1:16" ht="12.95">
      <c r="A28" s="13" t="str">
        <f>Kriteeristö!C28</f>
        <v>HAL-14</v>
      </c>
      <c r="B28" s="12" t="str">
        <f>Kriteeristö!E28</f>
        <v>Julkinen</v>
      </c>
      <c r="C28" s="12" t="str">
        <f>Kriteeristö!F28</f>
        <v>Vähäinen</v>
      </c>
      <c r="D28" s="12">
        <f>Kriteeristö!G28</f>
        <v>0</v>
      </c>
      <c r="E28" s="12" t="str">
        <f>Kriteeristö!H28</f>
        <v>Henkilötieto</v>
      </c>
      <c r="F28" s="34" t="str">
        <f>Kriteeristö!L28</f>
        <v>Käyttö- ja käsittelyoikeudet</v>
      </c>
      <c r="G28" s="49">
        <v>1</v>
      </c>
      <c r="H28" s="49">
        <v>1</v>
      </c>
      <c r="I28" s="49">
        <v>1</v>
      </c>
      <c r="J28" s="49">
        <v>0</v>
      </c>
      <c r="K28" s="49">
        <v>0</v>
      </c>
      <c r="L28" s="49">
        <v>0</v>
      </c>
      <c r="M28" s="49">
        <v>0</v>
      </c>
      <c r="N28" s="49">
        <v>0</v>
      </c>
      <c r="O28" s="49">
        <v>0</v>
      </c>
      <c r="P28" s="49">
        <v>0</v>
      </c>
    </row>
    <row r="29" spans="1:16" ht="12.95">
      <c r="A29" s="13" t="str">
        <f>Kriteeristö!C29</f>
        <v>HAL-14.1</v>
      </c>
      <c r="B29" s="12" t="str">
        <f>Kriteeristö!E29</f>
        <v>TL III</v>
      </c>
      <c r="C29" s="12">
        <f>Kriteeristö!F29</f>
        <v>0</v>
      </c>
      <c r="D29" s="12">
        <f>Kriteeristö!G29</f>
        <v>0</v>
      </c>
      <c r="E29" s="12">
        <f>Kriteeristö!H29</f>
        <v>0</v>
      </c>
      <c r="F29" s="34" t="str">
        <f>Kriteeristö!L29</f>
        <v>Käyttö- ja käsittelyoikeudet - ajantasainen luettelo</v>
      </c>
      <c r="G29" s="49">
        <v>1</v>
      </c>
      <c r="H29" s="49">
        <v>2</v>
      </c>
      <c r="I29" s="49">
        <v>2</v>
      </c>
      <c r="J29" s="49">
        <v>0</v>
      </c>
      <c r="K29" s="49">
        <v>0</v>
      </c>
      <c r="L29" s="49">
        <v>0</v>
      </c>
      <c r="M29" s="49">
        <v>0</v>
      </c>
      <c r="N29" s="49">
        <v>0</v>
      </c>
      <c r="O29" s="49">
        <v>0</v>
      </c>
      <c r="P29" s="49">
        <v>0</v>
      </c>
    </row>
    <row r="30" spans="1:16" ht="12.95">
      <c r="A30" s="13" t="str">
        <f>Kriteeristö!C30</f>
        <v>HAL-14.2</v>
      </c>
      <c r="B30" s="12" t="str">
        <f>Kriteeristö!E30</f>
        <v>Salassa pidettävä</v>
      </c>
      <c r="C30" s="12" t="str">
        <f>Kriteeristö!F30</f>
        <v>Kriittinen</v>
      </c>
      <c r="D30" s="12">
        <f>Kriteeristö!G30</f>
        <v>0</v>
      </c>
      <c r="E30" s="12" t="str">
        <f>Kriteeristö!H30</f>
        <v>Erityinen henkilötietoryhmä</v>
      </c>
      <c r="F30" s="34" t="str">
        <f>Kriteeristö!L30</f>
        <v>Käyttö- ja käsittelyoikeudet - päättyminen</v>
      </c>
      <c r="G30" s="49">
        <v>1</v>
      </c>
      <c r="H30" s="49">
        <v>2</v>
      </c>
      <c r="I30" s="49">
        <v>1</v>
      </c>
      <c r="J30" s="49">
        <v>0</v>
      </c>
      <c r="K30" s="49">
        <v>0</v>
      </c>
      <c r="L30" s="49">
        <v>0</v>
      </c>
      <c r="M30" s="49">
        <v>0</v>
      </c>
      <c r="N30" s="49">
        <v>0</v>
      </c>
      <c r="O30" s="49">
        <v>0</v>
      </c>
      <c r="P30" s="49">
        <v>0</v>
      </c>
    </row>
    <row r="31" spans="1:16" ht="12.95">
      <c r="A31" s="13" t="str">
        <f>Kriteeristö!C31</f>
        <v>HAL-15</v>
      </c>
      <c r="B31" s="12" t="str">
        <f>Kriteeristö!E31</f>
        <v>Julkinen</v>
      </c>
      <c r="C31" s="12" t="str">
        <f>Kriteeristö!F31</f>
        <v>Vähäinen</v>
      </c>
      <c r="D31" s="12" t="str">
        <f>Kriteeristö!G31</f>
        <v>Vähäinen</v>
      </c>
      <c r="E31" s="12" t="str">
        <f>Kriteeristö!H31</f>
        <v>Henkilötieto</v>
      </c>
      <c r="F31" s="34" t="str">
        <f>Kriteeristö!L31</f>
        <v>Työskentelyn tietoturvallisuus koko palvelussuhteen ajan</v>
      </c>
      <c r="G31" s="49">
        <v>1</v>
      </c>
      <c r="H31" s="49">
        <v>1</v>
      </c>
      <c r="I31" s="49">
        <v>2</v>
      </c>
      <c r="J31" s="49">
        <v>0</v>
      </c>
      <c r="K31" s="49">
        <v>0</v>
      </c>
      <c r="L31" s="49">
        <v>0</v>
      </c>
      <c r="M31" s="49">
        <v>0</v>
      </c>
      <c r="N31" s="49">
        <v>0</v>
      </c>
      <c r="O31" s="49">
        <v>0</v>
      </c>
      <c r="P31" s="49">
        <v>0</v>
      </c>
    </row>
    <row r="32" spans="1:16" ht="12.95">
      <c r="A32" s="13" t="str">
        <f>Kriteeristö!C32</f>
        <v>HAL-16</v>
      </c>
      <c r="B32" s="12" t="str">
        <f>Kriteeristö!E32</f>
        <v>Julkinen</v>
      </c>
      <c r="C32" s="12" t="str">
        <f>Kriteeristö!F32</f>
        <v>Vähäinen</v>
      </c>
      <c r="D32" s="12" t="str">
        <f>Kriteeristö!G32</f>
        <v>Vähäinen</v>
      </c>
      <c r="E32" s="12" t="str">
        <f>Kriteeristö!H32</f>
        <v>Henkilötieto</v>
      </c>
      <c r="F32" s="34" t="str">
        <f>Kriteeristö!L32</f>
        <v>Hankintojen turvallisuus</v>
      </c>
      <c r="G32" s="49">
        <v>1</v>
      </c>
      <c r="H32" s="49">
        <v>0</v>
      </c>
      <c r="I32" s="49">
        <v>2</v>
      </c>
      <c r="J32" s="49">
        <v>0</v>
      </c>
      <c r="K32" s="49">
        <v>0</v>
      </c>
      <c r="L32" s="49">
        <v>0</v>
      </c>
      <c r="M32" s="49">
        <v>0</v>
      </c>
      <c r="N32" s="49">
        <v>0</v>
      </c>
      <c r="O32" s="49">
        <v>0</v>
      </c>
      <c r="P32" s="49">
        <v>0</v>
      </c>
    </row>
    <row r="33" spans="1:16" ht="12.95">
      <c r="A33" s="13" t="str">
        <f>Kriteeristö!C33</f>
        <v>HAL-16.1</v>
      </c>
      <c r="B33" s="12" t="str">
        <f>Kriteeristö!E33</f>
        <v>Julkinen</v>
      </c>
      <c r="C33" s="12" t="str">
        <f>Kriteeristö!F33</f>
        <v>Vähäinen</v>
      </c>
      <c r="D33" s="12" t="str">
        <f>Kriteeristö!G33</f>
        <v>Vähäinen</v>
      </c>
      <c r="E33" s="12" t="str">
        <f>Kriteeristö!H33</f>
        <v>Henkilötieto</v>
      </c>
      <c r="F33" s="34" t="str">
        <f>Kriteeristö!L33</f>
        <v>Hankintojen turvallisuus - sopimukset</v>
      </c>
      <c r="G33" s="49">
        <v>1</v>
      </c>
      <c r="H33" s="49">
        <v>0</v>
      </c>
      <c r="I33" s="49">
        <v>1</v>
      </c>
      <c r="J33" s="49">
        <v>0</v>
      </c>
      <c r="K33" s="49">
        <v>0</v>
      </c>
      <c r="L33" s="49">
        <v>0</v>
      </c>
      <c r="M33" s="49">
        <v>0</v>
      </c>
      <c r="N33" s="49">
        <v>0</v>
      </c>
      <c r="O33" s="49">
        <v>0</v>
      </c>
      <c r="P33" s="49">
        <v>0</v>
      </c>
    </row>
    <row r="34" spans="1:16" ht="12.95">
      <c r="A34" s="13" t="str">
        <f>Kriteeristö!C34</f>
        <v>HAL-17</v>
      </c>
      <c r="B34" s="12">
        <f>Kriteeristö!E34</f>
        <v>0</v>
      </c>
      <c r="C34" s="12" t="str">
        <f>Kriteeristö!F34</f>
        <v>Tärkeä</v>
      </c>
      <c r="D34" s="12" t="str">
        <f>Kriteeristö!G34</f>
        <v>Tärkeä</v>
      </c>
      <c r="E34" s="12">
        <f>Kriteeristö!H34</f>
        <v>0</v>
      </c>
      <c r="F34" s="34" t="str">
        <f>Kriteeristö!L34</f>
        <v>Tietojärjestelmien toiminnallinen käytettävyys ja vikasietoisuus</v>
      </c>
      <c r="G34" s="49">
        <v>2</v>
      </c>
      <c r="H34" s="49">
        <v>0</v>
      </c>
      <c r="I34" s="49">
        <v>2</v>
      </c>
      <c r="J34" s="49">
        <v>0</v>
      </c>
      <c r="K34" s="49">
        <v>0</v>
      </c>
      <c r="L34" s="49">
        <v>0</v>
      </c>
      <c r="M34" s="49">
        <v>0</v>
      </c>
      <c r="N34" s="49">
        <v>0</v>
      </c>
      <c r="O34" s="49">
        <v>0</v>
      </c>
      <c r="P34" s="49">
        <v>0</v>
      </c>
    </row>
    <row r="35" spans="1:16" ht="26.1">
      <c r="A35" s="13" t="str">
        <f>Kriteeristö!C35</f>
        <v>HAL-17.1</v>
      </c>
      <c r="B35" s="12" t="str">
        <f>Kriteeristö!E35</f>
        <v>Julkinen</v>
      </c>
      <c r="C35" s="12" t="str">
        <f>Kriteeristö!F35</f>
        <v>Vähäinen</v>
      </c>
      <c r="D35" s="12" t="str">
        <f>Kriteeristö!G35</f>
        <v>Vähäinen</v>
      </c>
      <c r="E35" s="12" t="str">
        <f>Kriteeristö!H35</f>
        <v>Henkilötieto</v>
      </c>
      <c r="F35" s="34" t="str">
        <f>Kriteeristö!L35</f>
        <v>Tietojärjestelmien toiminnallinen käytettävyys ja vikasietoisuus - saavutettavuus</v>
      </c>
      <c r="G35" s="49">
        <v>2</v>
      </c>
      <c r="H35" s="49">
        <v>0</v>
      </c>
      <c r="I35" s="49">
        <v>2</v>
      </c>
      <c r="J35" s="49">
        <v>0</v>
      </c>
      <c r="K35" s="49">
        <v>0</v>
      </c>
      <c r="L35" s="49">
        <v>0</v>
      </c>
      <c r="M35" s="49">
        <v>0</v>
      </c>
      <c r="N35" s="49">
        <v>0</v>
      </c>
      <c r="O35" s="49">
        <v>0</v>
      </c>
      <c r="P35" s="49">
        <v>0</v>
      </c>
    </row>
    <row r="36" spans="1:16" ht="12.95">
      <c r="A36" s="13" t="str">
        <f>Kriteeristö!C36</f>
        <v>HAL-18</v>
      </c>
      <c r="B36" s="12" t="str">
        <f>Kriteeristö!E36</f>
        <v>Julkinen</v>
      </c>
      <c r="C36" s="12">
        <f>Kriteeristö!F36</f>
        <v>0</v>
      </c>
      <c r="D36" s="12">
        <f>Kriteeristö!G36</f>
        <v>0</v>
      </c>
      <c r="E36" s="12">
        <f>Kriteeristö!H36</f>
        <v>0</v>
      </c>
      <c r="F36" s="34" t="str">
        <f>Kriteeristö!L36</f>
        <v>Asiakirjajulkisuuden toteuttaminen</v>
      </c>
      <c r="G36" s="49">
        <v>2</v>
      </c>
      <c r="H36" s="49">
        <v>0</v>
      </c>
      <c r="I36" s="49">
        <v>2</v>
      </c>
      <c r="J36" s="49">
        <v>0</v>
      </c>
      <c r="K36" s="49">
        <v>0</v>
      </c>
      <c r="L36" s="49">
        <v>0</v>
      </c>
      <c r="M36" s="49">
        <v>0</v>
      </c>
      <c r="N36" s="49">
        <v>0</v>
      </c>
      <c r="O36" s="49">
        <v>0</v>
      </c>
      <c r="P36" s="49">
        <v>0</v>
      </c>
    </row>
    <row r="37" spans="1:16" ht="12.95">
      <c r="A37" s="13" t="str">
        <f>Kriteeristö!C37</f>
        <v>HAL-19</v>
      </c>
      <c r="B37" s="12" t="str">
        <f>Kriteeristö!E37</f>
        <v>Julkinen</v>
      </c>
      <c r="C37" s="12">
        <f>Kriteeristö!F37</f>
        <v>0</v>
      </c>
      <c r="D37" s="12">
        <f>Kriteeristö!G37</f>
        <v>0</v>
      </c>
      <c r="E37" s="12" t="str">
        <f>Kriteeristö!H37</f>
        <v>Henkilötieto</v>
      </c>
      <c r="F37" s="34" t="str">
        <f>Kriteeristö!L37</f>
        <v xml:space="preserve">Tietojen käsittely </v>
      </c>
      <c r="G37" s="49">
        <v>0</v>
      </c>
      <c r="H37" s="49">
        <v>1</v>
      </c>
      <c r="I37" s="49">
        <v>1</v>
      </c>
      <c r="J37" s="49">
        <v>0</v>
      </c>
      <c r="K37" s="49">
        <v>0</v>
      </c>
      <c r="L37" s="49">
        <v>0</v>
      </c>
      <c r="M37" s="49">
        <v>0</v>
      </c>
      <c r="N37" s="49">
        <v>0</v>
      </c>
      <c r="O37" s="49">
        <v>0</v>
      </c>
      <c r="P37" s="49">
        <v>0</v>
      </c>
    </row>
    <row r="38" spans="1:16" ht="12.95">
      <c r="A38" s="13" t="str">
        <f>Kriteeristö!C38</f>
        <v>FYY-01</v>
      </c>
      <c r="B38" s="12" t="str">
        <f>Kriteeristö!E38</f>
        <v>Julkinen</v>
      </c>
      <c r="C38" s="12" t="str">
        <f>Kriteeristö!F38</f>
        <v>Vähäinen</v>
      </c>
      <c r="D38" s="12" t="str">
        <f>Kriteeristö!G38</f>
        <v>Vähäinen</v>
      </c>
      <c r="E38" s="12" t="str">
        <f>Kriteeristö!H38</f>
        <v>Henkilötieto</v>
      </c>
      <c r="F38" s="34" t="str">
        <f>Kriteeristö!L38</f>
        <v>Fyysisen turvallisuuden riskien arviointi</v>
      </c>
      <c r="G38" s="49">
        <v>1</v>
      </c>
      <c r="H38" s="49">
        <v>1</v>
      </c>
      <c r="I38" s="49">
        <v>1</v>
      </c>
      <c r="J38" s="49">
        <v>0</v>
      </c>
      <c r="K38" s="49">
        <v>0</v>
      </c>
      <c r="L38" s="49">
        <v>0</v>
      </c>
      <c r="M38" s="49">
        <v>0</v>
      </c>
      <c r="N38" s="49">
        <v>0</v>
      </c>
      <c r="O38" s="49">
        <v>0</v>
      </c>
      <c r="P38" s="49">
        <v>0</v>
      </c>
    </row>
    <row r="39" spans="1:16" ht="12.95">
      <c r="A39" s="13" t="str">
        <f>Kriteeristö!C39</f>
        <v>FYY-01.1</v>
      </c>
      <c r="B39" s="12" t="str">
        <f>Kriteeristö!E39</f>
        <v>TL III</v>
      </c>
      <c r="C39" s="12">
        <f>Kriteeristö!F39</f>
        <v>0</v>
      </c>
      <c r="D39" s="12">
        <f>Kriteeristö!G39</f>
        <v>0</v>
      </c>
      <c r="E39" s="12">
        <f>Kriteeristö!H39</f>
        <v>0</v>
      </c>
      <c r="F39" s="34" t="str">
        <f>Kriteeristö!L39</f>
        <v>Fyysisen turvallisuuden riskien arviointi - TEMPEST</v>
      </c>
      <c r="G39" s="49">
        <v>0</v>
      </c>
      <c r="H39" s="49">
        <v>0</v>
      </c>
      <c r="I39" s="49">
        <v>1</v>
      </c>
      <c r="J39" s="49">
        <v>0</v>
      </c>
      <c r="K39" s="49">
        <v>0</v>
      </c>
      <c r="L39" s="49">
        <v>0</v>
      </c>
      <c r="M39" s="49">
        <v>0</v>
      </c>
      <c r="N39" s="49">
        <v>0</v>
      </c>
      <c r="O39" s="49">
        <v>0</v>
      </c>
      <c r="P39" s="49">
        <v>0</v>
      </c>
    </row>
    <row r="40" spans="1:16" ht="12.95">
      <c r="A40" s="13" t="str">
        <f>Kriteeristö!C40</f>
        <v>FYY-02</v>
      </c>
      <c r="B40" s="12" t="str">
        <f>Kriteeristö!E40</f>
        <v>Julkinen</v>
      </c>
      <c r="C40" s="12" t="str">
        <f>Kriteeristö!F40</f>
        <v>Vähäinen</v>
      </c>
      <c r="D40" s="12" t="str">
        <f>Kriteeristö!G40</f>
        <v>Vähäinen</v>
      </c>
      <c r="E40" s="12" t="str">
        <f>Kriteeristö!H40</f>
        <v>Henkilötieto</v>
      </c>
      <c r="F40" s="34" t="str">
        <f>Kriteeristö!L40</f>
        <v>Fyysisten turvatoimien valinta (monitasoinen suojaus)</v>
      </c>
      <c r="G40" s="49">
        <v>1</v>
      </c>
      <c r="H40" s="49">
        <v>1</v>
      </c>
      <c r="I40" s="49">
        <v>1</v>
      </c>
      <c r="J40" s="49">
        <v>0</v>
      </c>
      <c r="K40" s="49">
        <v>0</v>
      </c>
      <c r="L40" s="49">
        <v>0</v>
      </c>
      <c r="M40" s="49">
        <v>0</v>
      </c>
      <c r="N40" s="49">
        <v>0</v>
      </c>
      <c r="O40" s="49">
        <v>0</v>
      </c>
      <c r="P40" s="49">
        <v>0</v>
      </c>
    </row>
    <row r="41" spans="1:16" ht="26.1">
      <c r="A41" s="13" t="str">
        <f>Kriteeristö!C41</f>
        <v>FYY-03</v>
      </c>
      <c r="B41" s="12" t="str">
        <f>Kriteeristö!E41</f>
        <v>Salassa pidettävä</v>
      </c>
      <c r="C41" s="12">
        <f>Kriteeristö!F41</f>
        <v>0</v>
      </c>
      <c r="D41" s="12">
        <f>Kriteeristö!G41</f>
        <v>0</v>
      </c>
      <c r="E41" s="12" t="str">
        <f>Kriteeristö!H41</f>
        <v>Erityinen henkilötietoryhmä</v>
      </c>
      <c r="F41" s="34" t="str">
        <f>Kriteeristö!L41</f>
        <v xml:space="preserve">Tiedon käsittely 
</v>
      </c>
      <c r="G41" s="49">
        <v>1</v>
      </c>
      <c r="H41" s="49">
        <v>1</v>
      </c>
      <c r="I41" s="49">
        <v>1</v>
      </c>
      <c r="J41" s="49">
        <v>0</v>
      </c>
      <c r="K41" s="49">
        <v>0</v>
      </c>
      <c r="L41" s="49">
        <v>0</v>
      </c>
      <c r="M41" s="49">
        <v>0</v>
      </c>
      <c r="N41" s="49">
        <v>0</v>
      </c>
      <c r="O41" s="49">
        <v>0</v>
      </c>
      <c r="P41" s="49">
        <v>0</v>
      </c>
    </row>
    <row r="42" spans="1:16" ht="26.1">
      <c r="A42" s="13" t="str">
        <f>Kriteeristö!C42</f>
        <v>FYY-03.1</v>
      </c>
      <c r="B42" s="12" t="str">
        <f>Kriteeristö!E42</f>
        <v>TL I</v>
      </c>
      <c r="C42" s="12">
        <f>Kriteeristö!F42</f>
        <v>0</v>
      </c>
      <c r="D42" s="12">
        <f>Kriteeristö!G42</f>
        <v>0</v>
      </c>
      <c r="E42" s="12">
        <f>Kriteeristö!H42</f>
        <v>0</v>
      </c>
      <c r="F42" s="34" t="str">
        <f>Kriteeristö!L42</f>
        <v xml:space="preserve">Tiedon käsittely - TL I 
</v>
      </c>
      <c r="G42" s="49">
        <v>0</v>
      </c>
      <c r="H42" s="49">
        <v>0</v>
      </c>
      <c r="I42" s="49">
        <v>1</v>
      </c>
      <c r="J42" s="49">
        <v>0</v>
      </c>
      <c r="K42" s="49">
        <v>0</v>
      </c>
      <c r="L42" s="49">
        <v>0</v>
      </c>
      <c r="M42" s="49">
        <v>0</v>
      </c>
      <c r="N42" s="49">
        <v>0</v>
      </c>
      <c r="O42" s="49">
        <v>0</v>
      </c>
      <c r="P42" s="49">
        <v>0</v>
      </c>
    </row>
    <row r="43" spans="1:16" ht="26.1">
      <c r="A43" s="13" t="str">
        <f>Kriteeristö!C43</f>
        <v>FYY-04</v>
      </c>
      <c r="B43" s="12" t="str">
        <f>Kriteeristö!E43</f>
        <v>Salassa pidettävä</v>
      </c>
      <c r="C43" s="12">
        <f>Kriteeristö!F43</f>
        <v>0</v>
      </c>
      <c r="D43" s="12">
        <f>Kriteeristö!G43</f>
        <v>0</v>
      </c>
      <c r="E43" s="12" t="str">
        <f>Kriteeristö!H43</f>
        <v>Erityinen henkilötietoryhmä</v>
      </c>
      <c r="F43" s="34" t="str">
        <f>Kriteeristö!L43</f>
        <v xml:space="preserve">Tiedon säilytys 
</v>
      </c>
      <c r="G43" s="49">
        <v>1</v>
      </c>
      <c r="H43" s="49">
        <v>1</v>
      </c>
      <c r="I43" s="49">
        <v>1</v>
      </c>
      <c r="J43" s="49">
        <v>0</v>
      </c>
      <c r="K43" s="49">
        <v>0</v>
      </c>
      <c r="L43" s="49">
        <v>0</v>
      </c>
      <c r="M43" s="49">
        <v>0</v>
      </c>
      <c r="N43" s="49">
        <v>0</v>
      </c>
      <c r="O43" s="49">
        <v>0</v>
      </c>
      <c r="P43" s="49">
        <v>0</v>
      </c>
    </row>
    <row r="44" spans="1:16" ht="26.1">
      <c r="A44" s="13" t="str">
        <f>Kriteeristö!C44</f>
        <v>FYY-04.1</v>
      </c>
      <c r="B44" s="12" t="str">
        <f>Kriteeristö!E44</f>
        <v>TL IV</v>
      </c>
      <c r="C44" s="12">
        <f>Kriteeristö!F44</f>
        <v>0</v>
      </c>
      <c r="D44" s="12">
        <f>Kriteeristö!G44</f>
        <v>0</v>
      </c>
      <c r="E44" s="12">
        <f>Kriteeristö!H44</f>
        <v>0</v>
      </c>
      <c r="F44" s="34" t="str">
        <f>Kriteeristö!L44</f>
        <v xml:space="preserve">Tiedon säilytys - TL IV
</v>
      </c>
      <c r="G44" s="49">
        <v>0</v>
      </c>
      <c r="H44" s="49">
        <v>2</v>
      </c>
      <c r="I44" s="49">
        <v>1</v>
      </c>
      <c r="J44" s="49">
        <v>0</v>
      </c>
      <c r="K44" s="49">
        <v>0</v>
      </c>
      <c r="L44" s="49">
        <v>0</v>
      </c>
      <c r="M44" s="49">
        <v>0</v>
      </c>
      <c r="N44" s="49">
        <v>0</v>
      </c>
      <c r="O44" s="49">
        <v>0</v>
      </c>
      <c r="P44" s="49">
        <v>0</v>
      </c>
    </row>
    <row r="45" spans="1:16" ht="26.1">
      <c r="A45" s="13" t="str">
        <f>Kriteeristö!C45</f>
        <v>FYY-04.2</v>
      </c>
      <c r="B45" s="12" t="str">
        <f>Kriteeristö!E45</f>
        <v>TL IV</v>
      </c>
      <c r="C45" s="12">
        <f>Kriteeristö!F45</f>
        <v>0</v>
      </c>
      <c r="D45" s="12">
        <f>Kriteeristö!G45</f>
        <v>0</v>
      </c>
      <c r="E45" s="12">
        <f>Kriteeristö!H45</f>
        <v>0</v>
      </c>
      <c r="F45" s="34" t="str">
        <f>Kriteeristö!L45</f>
        <v xml:space="preserve">Tiedon säilytys - Tietovarannot ja tietojärjestelmät - TL IV
</v>
      </c>
      <c r="G45" s="49">
        <v>1</v>
      </c>
      <c r="H45" s="49">
        <v>0</v>
      </c>
      <c r="I45" s="49">
        <v>1</v>
      </c>
      <c r="J45" s="49">
        <v>0</v>
      </c>
      <c r="K45" s="49">
        <v>0</v>
      </c>
      <c r="L45" s="49">
        <v>0</v>
      </c>
      <c r="M45" s="49">
        <v>0</v>
      </c>
      <c r="N45" s="49">
        <v>0</v>
      </c>
      <c r="O45" s="49">
        <v>0</v>
      </c>
      <c r="P45" s="49">
        <v>0</v>
      </c>
    </row>
    <row r="46" spans="1:16" ht="26.1">
      <c r="A46" s="13" t="str">
        <f>Kriteeristö!C46</f>
        <v>FYY-04.3</v>
      </c>
      <c r="B46" s="12" t="str">
        <f>Kriteeristö!E46</f>
        <v>TL III</v>
      </c>
      <c r="C46" s="12">
        <f>Kriteeristö!F46</f>
        <v>0</v>
      </c>
      <c r="D46" s="12">
        <f>Kriteeristö!G46</f>
        <v>0</v>
      </c>
      <c r="E46" s="12">
        <f>Kriteeristö!H46</f>
        <v>0</v>
      </c>
      <c r="F46" s="34" t="str">
        <f>Kriteeristö!L46</f>
        <v xml:space="preserve">Tiedon säilytys - Tietovarannot ja tietojärjestelmät - TL III 
</v>
      </c>
      <c r="G46" s="49">
        <v>1</v>
      </c>
      <c r="H46" s="49">
        <v>0</v>
      </c>
      <c r="I46" s="49">
        <v>1</v>
      </c>
      <c r="J46" s="49">
        <v>0</v>
      </c>
      <c r="K46" s="49">
        <v>0</v>
      </c>
      <c r="L46" s="49">
        <v>0</v>
      </c>
      <c r="M46" s="49">
        <v>0</v>
      </c>
      <c r="N46" s="49">
        <v>0</v>
      </c>
      <c r="O46" s="49">
        <v>0</v>
      </c>
      <c r="P46" s="49">
        <v>0</v>
      </c>
    </row>
    <row r="47" spans="1:16" ht="26.1">
      <c r="A47" s="13" t="str">
        <f>Kriteeristö!C47</f>
        <v>FYY-04.4</v>
      </c>
      <c r="B47" s="12" t="str">
        <f>Kriteeristö!E47</f>
        <v>TL III</v>
      </c>
      <c r="C47" s="12">
        <f>Kriteeristö!F47</f>
        <v>0</v>
      </c>
      <c r="D47" s="12">
        <f>Kriteeristö!G47</f>
        <v>0</v>
      </c>
      <c r="E47" s="12">
        <f>Kriteeristö!H47</f>
        <v>0</v>
      </c>
      <c r="F47" s="34" t="str">
        <f>Kriteeristö!L47</f>
        <v xml:space="preserve">Tiedon säilytys - TL III
</v>
      </c>
      <c r="G47" s="49">
        <v>0</v>
      </c>
      <c r="H47" s="49">
        <v>2</v>
      </c>
      <c r="I47" s="49">
        <v>1</v>
      </c>
      <c r="J47" s="49">
        <v>0</v>
      </c>
      <c r="K47" s="49">
        <v>0</v>
      </c>
      <c r="L47" s="49">
        <v>0</v>
      </c>
      <c r="M47" s="49">
        <v>0</v>
      </c>
      <c r="N47" s="49">
        <v>0</v>
      </c>
      <c r="O47" s="49">
        <v>0</v>
      </c>
      <c r="P47" s="49">
        <v>0</v>
      </c>
    </row>
    <row r="48" spans="1:16" ht="26.1">
      <c r="A48" s="13" t="str">
        <f>Kriteeristö!C48</f>
        <v>FYY-04.5</v>
      </c>
      <c r="B48" s="12" t="str">
        <f>Kriteeristö!E48</f>
        <v>TL II</v>
      </c>
      <c r="C48" s="12">
        <f>Kriteeristö!F48</f>
        <v>0</v>
      </c>
      <c r="D48" s="12">
        <f>Kriteeristö!G48</f>
        <v>0</v>
      </c>
      <c r="E48" s="12">
        <f>Kriteeristö!H48</f>
        <v>0</v>
      </c>
      <c r="F48" s="34" t="str">
        <f>Kriteeristö!L48</f>
        <v xml:space="preserve">Tiedon säilytys - TL II
</v>
      </c>
      <c r="G48" s="49">
        <v>0</v>
      </c>
      <c r="H48" s="49">
        <v>2</v>
      </c>
      <c r="I48" s="49">
        <v>1</v>
      </c>
      <c r="J48" s="49">
        <v>0</v>
      </c>
      <c r="K48" s="49">
        <v>0</v>
      </c>
      <c r="L48" s="49">
        <v>0</v>
      </c>
      <c r="M48" s="49">
        <v>0</v>
      </c>
      <c r="N48" s="49">
        <v>0</v>
      </c>
      <c r="O48" s="49">
        <v>0</v>
      </c>
      <c r="P48" s="49">
        <v>0</v>
      </c>
    </row>
    <row r="49" spans="1:16" ht="26.1">
      <c r="A49" s="13" t="str">
        <f>Kriteeristö!C49</f>
        <v>FYY-04.6</v>
      </c>
      <c r="B49" s="12" t="str">
        <f>Kriteeristö!E49</f>
        <v>TL I</v>
      </c>
      <c r="C49" s="12">
        <f>Kriteeristö!F49</f>
        <v>0</v>
      </c>
      <c r="D49" s="12">
        <f>Kriteeristö!G49</f>
        <v>0</v>
      </c>
      <c r="E49" s="12">
        <f>Kriteeristö!H49</f>
        <v>0</v>
      </c>
      <c r="F49" s="34" t="str">
        <f>Kriteeristö!L49</f>
        <v xml:space="preserve">Tiedon säilytys - TL I
</v>
      </c>
      <c r="G49" s="49">
        <v>0</v>
      </c>
      <c r="H49" s="49">
        <v>0</v>
      </c>
      <c r="I49" s="49">
        <v>1</v>
      </c>
      <c r="J49" s="49">
        <v>0</v>
      </c>
      <c r="K49" s="49">
        <v>0</v>
      </c>
      <c r="L49" s="49">
        <v>0</v>
      </c>
      <c r="M49" s="49">
        <v>0</v>
      </c>
      <c r="N49" s="49">
        <v>0</v>
      </c>
      <c r="O49" s="49">
        <v>0</v>
      </c>
      <c r="P49" s="49">
        <v>0</v>
      </c>
    </row>
    <row r="50" spans="1:16" ht="12.95">
      <c r="A50" s="13" t="str">
        <f>Kriteeristö!C50</f>
        <v>FYY-05</v>
      </c>
      <c r="B50" s="12" t="str">
        <f>Kriteeristö!E50</f>
        <v>Salassa pidettävä</v>
      </c>
      <c r="C50" s="12">
        <f>Kriteeristö!F50</f>
        <v>0</v>
      </c>
      <c r="D50" s="12">
        <f>Kriteeristö!G50</f>
        <v>0</v>
      </c>
      <c r="E50" s="12" t="str">
        <f>Kriteeristö!H50</f>
        <v>Erityinen henkilötietoryhmä</v>
      </c>
      <c r="F50" s="34" t="str">
        <f>Kriteeristö!L50</f>
        <v>Turvallisuusalue</v>
      </c>
      <c r="G50" s="49">
        <v>1</v>
      </c>
      <c r="H50" s="49">
        <v>1</v>
      </c>
      <c r="I50" s="49">
        <v>1</v>
      </c>
      <c r="J50" s="49">
        <v>0</v>
      </c>
      <c r="K50" s="49">
        <v>0</v>
      </c>
      <c r="L50" s="49">
        <v>0</v>
      </c>
      <c r="M50" s="49">
        <v>0</v>
      </c>
      <c r="N50" s="49">
        <v>0</v>
      </c>
      <c r="O50" s="49">
        <v>0</v>
      </c>
      <c r="P50" s="49">
        <v>0</v>
      </c>
    </row>
    <row r="51" spans="1:16" ht="12.95">
      <c r="A51" s="13" t="str">
        <f>Kriteeristö!C51</f>
        <v>FYY-05.1</v>
      </c>
      <c r="B51" s="12" t="str">
        <f>Kriteeristö!E51</f>
        <v>TL IV</v>
      </c>
      <c r="C51" s="12">
        <f>Kriteeristö!F51</f>
        <v>0</v>
      </c>
      <c r="D51" s="12">
        <f>Kriteeristö!G51</f>
        <v>0</v>
      </c>
      <c r="E51" s="12">
        <f>Kriteeristö!H51</f>
        <v>0</v>
      </c>
      <c r="F51" s="34" t="str">
        <f>Kriteeristö!L51</f>
        <v>Turvallisuusalue - Äänieristys</v>
      </c>
      <c r="G51" s="49">
        <v>0</v>
      </c>
      <c r="H51" s="49">
        <v>1</v>
      </c>
      <c r="I51" s="49">
        <v>1</v>
      </c>
      <c r="J51" s="49">
        <v>0</v>
      </c>
      <c r="K51" s="49">
        <v>0</v>
      </c>
      <c r="L51" s="49">
        <v>0</v>
      </c>
      <c r="M51" s="49">
        <v>0</v>
      </c>
      <c r="N51" s="49">
        <v>0</v>
      </c>
      <c r="O51" s="49">
        <v>0</v>
      </c>
      <c r="P51" s="49">
        <v>0</v>
      </c>
    </row>
    <row r="52" spans="1:16" ht="12.95">
      <c r="A52" s="13" t="str">
        <f>Kriteeristö!C52</f>
        <v>FYY-05.2</v>
      </c>
      <c r="B52" s="12" t="str">
        <f>Kriteeristö!E52</f>
        <v>Salassa pidettävä</v>
      </c>
      <c r="C52" s="12">
        <f>Kriteeristö!F52</f>
        <v>0</v>
      </c>
      <c r="D52" s="12">
        <f>Kriteeristö!G52</f>
        <v>0</v>
      </c>
      <c r="E52" s="12" t="str">
        <f>Kriteeristö!H52</f>
        <v>Erityinen henkilötietoryhmä</v>
      </c>
      <c r="F52" s="34" t="str">
        <f>Kriteeristö!L52</f>
        <v>Turvallisuusalue - Salaa katselun estäminen</v>
      </c>
      <c r="G52" s="49">
        <v>1</v>
      </c>
      <c r="H52" s="49">
        <v>1</v>
      </c>
      <c r="I52" s="49">
        <v>1</v>
      </c>
      <c r="J52" s="49">
        <v>0</v>
      </c>
      <c r="K52" s="49">
        <v>0</v>
      </c>
      <c r="L52" s="49">
        <v>0</v>
      </c>
      <c r="M52" s="49">
        <v>0</v>
      </c>
      <c r="N52" s="49">
        <v>0</v>
      </c>
      <c r="O52" s="49">
        <v>0</v>
      </c>
      <c r="P52" s="49">
        <v>0</v>
      </c>
    </row>
    <row r="53" spans="1:16" ht="12.95">
      <c r="A53" s="13" t="str">
        <f>Kriteeristö!C53</f>
        <v>FYY-05.3</v>
      </c>
      <c r="B53" s="12" t="str">
        <f>Kriteeristö!E53</f>
        <v>TL II</v>
      </c>
      <c r="C53" s="12">
        <f>Kriteeristö!F53</f>
        <v>0</v>
      </c>
      <c r="D53" s="12">
        <f>Kriteeristö!G53</f>
        <v>0</v>
      </c>
      <c r="E53" s="12">
        <f>Kriteeristö!H53</f>
        <v>0</v>
      </c>
      <c r="F53" s="34" t="str">
        <f>Kriteeristö!L53</f>
        <v>Turvallisuusalue - Tila- ja laitetarkastukset</v>
      </c>
      <c r="G53" s="49">
        <v>0</v>
      </c>
      <c r="H53" s="49">
        <v>1</v>
      </c>
      <c r="I53" s="49">
        <v>1</v>
      </c>
      <c r="J53" s="49">
        <v>0</v>
      </c>
      <c r="K53" s="49">
        <v>0</v>
      </c>
      <c r="L53" s="49">
        <v>0</v>
      </c>
      <c r="M53" s="49">
        <v>0</v>
      </c>
      <c r="N53" s="49">
        <v>0</v>
      </c>
      <c r="O53" s="49">
        <v>0</v>
      </c>
      <c r="P53" s="49">
        <v>0</v>
      </c>
    </row>
    <row r="54" spans="1:16" ht="26.1">
      <c r="A54" s="13" t="str">
        <f>Kriteeristö!C54</f>
        <v>FYY-05.4</v>
      </c>
      <c r="B54" s="12" t="str">
        <f>Kriteeristö!E54</f>
        <v>Salassa pidettävä</v>
      </c>
      <c r="C54" s="12">
        <f>Kriteeristö!F54</f>
        <v>0</v>
      </c>
      <c r="D54" s="12">
        <f>Kriteeristö!G54</f>
        <v>0</v>
      </c>
      <c r="E54" s="12" t="str">
        <f>Kriteeristö!H54</f>
        <v>Erityinen henkilötietoryhmä</v>
      </c>
      <c r="F54" s="34" t="str">
        <f>Kriteeristö!L54</f>
        <v>Turvallisuusalue - Pääsyoikeuksien ja avaintenhallinnan menettelyt</v>
      </c>
      <c r="G54" s="49">
        <v>1</v>
      </c>
      <c r="H54" s="49">
        <v>1</v>
      </c>
      <c r="I54" s="49">
        <v>1</v>
      </c>
      <c r="J54" s="49">
        <v>0</v>
      </c>
      <c r="K54" s="49">
        <v>0</v>
      </c>
      <c r="L54" s="49">
        <v>0</v>
      </c>
      <c r="M54" s="49">
        <v>0</v>
      </c>
      <c r="N54" s="49">
        <v>0</v>
      </c>
      <c r="O54" s="49">
        <v>0</v>
      </c>
      <c r="P54" s="49">
        <v>0</v>
      </c>
    </row>
    <row r="55" spans="1:16" ht="12.95">
      <c r="A55" s="13" t="str">
        <f>Kriteeristö!C55</f>
        <v>FYY-05.5</v>
      </c>
      <c r="B55" s="12" t="str">
        <f>Kriteeristö!E55</f>
        <v>TL IV</v>
      </c>
      <c r="C55" s="12">
        <f>Kriteeristö!F55</f>
        <v>0</v>
      </c>
      <c r="D55" s="12">
        <f>Kriteeristö!G55</f>
        <v>0</v>
      </c>
      <c r="E55" s="12">
        <f>Kriteeristö!H55</f>
        <v>0</v>
      </c>
      <c r="F55" s="34" t="str">
        <f>Kriteeristö!L55</f>
        <v>Turvallisuusalue - Vierailijat</v>
      </c>
      <c r="G55" s="49">
        <v>0</v>
      </c>
      <c r="H55" s="49">
        <v>1</v>
      </c>
      <c r="I55" s="49">
        <v>1</v>
      </c>
      <c r="J55" s="49">
        <v>0</v>
      </c>
      <c r="K55" s="49">
        <v>0</v>
      </c>
      <c r="L55" s="49">
        <v>0</v>
      </c>
      <c r="M55" s="49">
        <v>0</v>
      </c>
      <c r="N55" s="49">
        <v>0</v>
      </c>
      <c r="O55" s="49">
        <v>0</v>
      </c>
      <c r="P55" s="49">
        <v>0</v>
      </c>
    </row>
    <row r="56" spans="1:16" ht="12.95">
      <c r="A56" s="13" t="str">
        <f>Kriteeristö!C56</f>
        <v>FYY-06</v>
      </c>
      <c r="B56" s="12" t="str">
        <f>Kriteeristö!E56</f>
        <v>Salassa pidettävä</v>
      </c>
      <c r="C56" s="12">
        <f>Kriteeristö!F56</f>
        <v>0</v>
      </c>
      <c r="D56" s="12">
        <f>Kriteeristö!G56</f>
        <v>0</v>
      </c>
      <c r="E56" s="12">
        <f>Kriteeristö!H56</f>
        <v>0</v>
      </c>
      <c r="F56" s="34" t="str">
        <f>Kriteeristö!L56</f>
        <v>Hallinnollinen alue</v>
      </c>
      <c r="G56" s="49">
        <v>1</v>
      </c>
      <c r="H56" s="49">
        <v>2</v>
      </c>
      <c r="I56" s="49">
        <v>2</v>
      </c>
      <c r="J56" s="49">
        <v>0</v>
      </c>
      <c r="K56" s="49">
        <v>0</v>
      </c>
      <c r="L56" s="49">
        <v>0</v>
      </c>
      <c r="M56" s="49">
        <v>0</v>
      </c>
      <c r="N56" s="49">
        <v>0</v>
      </c>
      <c r="O56" s="49">
        <v>0</v>
      </c>
      <c r="P56" s="49">
        <v>0</v>
      </c>
    </row>
    <row r="57" spans="1:16" ht="12.95">
      <c r="A57" s="13" t="str">
        <f>Kriteeristö!C57</f>
        <v>FYY-06.1</v>
      </c>
      <c r="B57" s="12" t="str">
        <f>Kriteeristö!E57</f>
        <v>TL IV</v>
      </c>
      <c r="C57" s="12">
        <f>Kriteeristö!F57</f>
        <v>0</v>
      </c>
      <c r="D57" s="12">
        <f>Kriteeristö!G57</f>
        <v>0</v>
      </c>
      <c r="E57" s="12">
        <f>Kriteeristö!H57</f>
        <v>0</v>
      </c>
      <c r="F57" s="34" t="str">
        <f>Kriteeristö!L57</f>
        <v xml:space="preserve">Hallinnollinen alue - alueen raja ja rakenteet </v>
      </c>
      <c r="G57" s="49">
        <v>1</v>
      </c>
      <c r="H57" s="49">
        <v>2</v>
      </c>
      <c r="I57" s="49">
        <v>2</v>
      </c>
      <c r="J57" s="49">
        <v>0</v>
      </c>
      <c r="K57" s="49">
        <v>0</v>
      </c>
      <c r="L57" s="49">
        <v>0</v>
      </c>
      <c r="M57" s="49">
        <v>0</v>
      </c>
      <c r="N57" s="49">
        <v>0</v>
      </c>
      <c r="O57" s="49">
        <v>0</v>
      </c>
      <c r="P57" s="49">
        <v>0</v>
      </c>
    </row>
    <row r="58" spans="1:16" ht="12.95">
      <c r="A58" s="13" t="str">
        <f>Kriteeristö!C58</f>
        <v>FYY-06.2</v>
      </c>
      <c r="B58" s="12" t="str">
        <f>Kriteeristö!E58</f>
        <v>TL IV</v>
      </c>
      <c r="C58" s="12">
        <f>Kriteeristö!F58</f>
        <v>0</v>
      </c>
      <c r="D58" s="12">
        <f>Kriteeristö!G58</f>
        <v>0</v>
      </c>
      <c r="E58" s="12">
        <f>Kriteeristö!H58</f>
        <v>0</v>
      </c>
      <c r="F58" s="34" t="str">
        <f>Kriteeristö!L58</f>
        <v>Hallinnollinen alue - kulunvalvonta</v>
      </c>
      <c r="G58" s="49">
        <v>0</v>
      </c>
      <c r="H58" s="49">
        <v>2</v>
      </c>
      <c r="I58" s="49">
        <v>2</v>
      </c>
      <c r="J58" s="49">
        <v>0</v>
      </c>
      <c r="K58" s="49">
        <v>0</v>
      </c>
      <c r="L58" s="49">
        <v>0</v>
      </c>
      <c r="M58" s="49">
        <v>0</v>
      </c>
      <c r="N58" s="49">
        <v>0</v>
      </c>
      <c r="O58" s="49">
        <v>0</v>
      </c>
      <c r="P58" s="49">
        <v>0</v>
      </c>
    </row>
    <row r="59" spans="1:16" ht="12.95">
      <c r="A59" s="13" t="str">
        <f>Kriteeristö!C59</f>
        <v>FYY-06.3</v>
      </c>
      <c r="B59" s="12" t="str">
        <f>Kriteeristö!E59</f>
        <v>Salassa pidettävä</v>
      </c>
      <c r="C59" s="12">
        <f>Kriteeristö!F59</f>
        <v>0</v>
      </c>
      <c r="D59" s="12">
        <f>Kriteeristö!G59</f>
        <v>0</v>
      </c>
      <c r="E59" s="12">
        <f>Kriteeristö!H59</f>
        <v>0</v>
      </c>
      <c r="F59" s="34" t="str">
        <f>Kriteeristö!L59</f>
        <v xml:space="preserve">Hallinnollinen alue - pääsyoikeuksien myöntäminen </v>
      </c>
      <c r="G59" s="49">
        <v>0</v>
      </c>
      <c r="H59" s="49">
        <v>2</v>
      </c>
      <c r="I59" s="49">
        <v>2</v>
      </c>
      <c r="J59" s="49">
        <v>0</v>
      </c>
      <c r="K59" s="49">
        <v>0</v>
      </c>
      <c r="L59" s="49">
        <v>0</v>
      </c>
      <c r="M59" s="49">
        <v>0</v>
      </c>
      <c r="N59" s="49">
        <v>0</v>
      </c>
      <c r="O59" s="49">
        <v>0</v>
      </c>
      <c r="P59" s="49">
        <v>0</v>
      </c>
    </row>
    <row r="60" spans="1:16" ht="12.95">
      <c r="A60" s="13" t="str">
        <f>Kriteeristö!C60</f>
        <v>FYY-06.4</v>
      </c>
      <c r="B60" s="12" t="str">
        <f>Kriteeristö!E60</f>
        <v>TL IV</v>
      </c>
      <c r="C60" s="12">
        <f>Kriteeristö!F60</f>
        <v>0</v>
      </c>
      <c r="D60" s="12">
        <f>Kriteeristö!G60</f>
        <v>0</v>
      </c>
      <c r="E60" s="12">
        <f>Kriteeristö!H60</f>
        <v>0</v>
      </c>
      <c r="F60" s="34" t="str">
        <f>Kriteeristö!L60</f>
        <v>Hallinnollinen alue - tunkeutumisen ilmaisujärjestelmät</v>
      </c>
      <c r="G60" s="49">
        <v>0</v>
      </c>
      <c r="H60" s="49">
        <v>2</v>
      </c>
      <c r="I60" s="49">
        <v>2</v>
      </c>
      <c r="J60" s="49">
        <v>0</v>
      </c>
      <c r="K60" s="49">
        <v>0</v>
      </c>
      <c r="L60" s="49">
        <v>0</v>
      </c>
      <c r="M60" s="49">
        <v>0</v>
      </c>
      <c r="N60" s="49">
        <v>0</v>
      </c>
      <c r="O60" s="49">
        <v>0</v>
      </c>
      <c r="P60" s="49">
        <v>0</v>
      </c>
    </row>
    <row r="61" spans="1:16" ht="12.95">
      <c r="A61" s="13" t="str">
        <f>Kriteeristö!C61</f>
        <v>FYY-07</v>
      </c>
      <c r="B61" s="12" t="str">
        <f>Kriteeristö!E61</f>
        <v>TL III</v>
      </c>
      <c r="C61" s="12">
        <f>Kriteeristö!F61</f>
        <v>0</v>
      </c>
      <c r="D61" s="12">
        <f>Kriteeristö!G61</f>
        <v>0</v>
      </c>
      <c r="E61" s="12">
        <f>Kriteeristö!H61</f>
        <v>0</v>
      </c>
      <c r="F61" s="34" t="str">
        <f>Kriteeristö!L61</f>
        <v>Turva-alue</v>
      </c>
      <c r="G61" s="49">
        <v>2</v>
      </c>
      <c r="H61" s="49">
        <v>2</v>
      </c>
      <c r="I61" s="49">
        <v>2</v>
      </c>
      <c r="J61" s="49">
        <v>0</v>
      </c>
      <c r="K61" s="49">
        <v>0</v>
      </c>
      <c r="L61" s="49">
        <v>0</v>
      </c>
      <c r="M61" s="49">
        <v>0</v>
      </c>
      <c r="N61" s="49">
        <v>0</v>
      </c>
      <c r="O61" s="49">
        <v>0</v>
      </c>
      <c r="P61" s="49">
        <v>0</v>
      </c>
    </row>
    <row r="62" spans="1:16" ht="12.95">
      <c r="A62" s="13" t="str">
        <f>Kriteeristö!C62</f>
        <v>FYY-07.1</v>
      </c>
      <c r="B62" s="12" t="str">
        <f>Kriteeristö!E62</f>
        <v>TL III</v>
      </c>
      <c r="C62" s="12">
        <f>Kriteeristö!F62</f>
        <v>0</v>
      </c>
      <c r="D62" s="12">
        <f>Kriteeristö!G62</f>
        <v>0</v>
      </c>
      <c r="E62" s="12">
        <f>Kriteeristö!H62</f>
        <v>0</v>
      </c>
      <c r="F62" s="34" t="str">
        <f>Kriteeristö!L62</f>
        <v xml:space="preserve">Turva-alue - alueen raja ja rakenteet </v>
      </c>
      <c r="G62" s="49">
        <v>2</v>
      </c>
      <c r="H62" s="49">
        <v>2</v>
      </c>
      <c r="I62" s="49">
        <v>2</v>
      </c>
      <c r="J62" s="49">
        <v>0</v>
      </c>
      <c r="K62" s="49">
        <v>0</v>
      </c>
      <c r="L62" s="49">
        <v>0</v>
      </c>
      <c r="M62" s="49">
        <v>0</v>
      </c>
      <c r="N62" s="49">
        <v>0</v>
      </c>
      <c r="O62" s="49">
        <v>0</v>
      </c>
      <c r="P62" s="49">
        <v>0</v>
      </c>
    </row>
    <row r="63" spans="1:16" ht="12.95">
      <c r="A63" s="13" t="str">
        <f>Kriteeristö!C63</f>
        <v>FYY-07.2</v>
      </c>
      <c r="B63" s="12" t="str">
        <f>Kriteeristö!E63</f>
        <v>TL III</v>
      </c>
      <c r="C63" s="12">
        <f>Kriteeristö!F63</f>
        <v>0</v>
      </c>
      <c r="D63" s="12">
        <f>Kriteeristö!G63</f>
        <v>0</v>
      </c>
      <c r="E63" s="12">
        <f>Kriteeristö!H63</f>
        <v>0</v>
      </c>
      <c r="F63" s="34" t="str">
        <f>Kriteeristö!L63</f>
        <v>Turva-alue - kulunvalvonta</v>
      </c>
      <c r="G63" s="49">
        <v>2</v>
      </c>
      <c r="H63" s="49">
        <v>2</v>
      </c>
      <c r="I63" s="49">
        <v>2</v>
      </c>
      <c r="J63" s="49">
        <v>0</v>
      </c>
      <c r="K63" s="49">
        <v>0</v>
      </c>
      <c r="L63" s="49">
        <v>0</v>
      </c>
      <c r="M63" s="49">
        <v>0</v>
      </c>
      <c r="N63" s="49">
        <v>0</v>
      </c>
      <c r="O63" s="49">
        <v>0</v>
      </c>
      <c r="P63" s="49">
        <v>0</v>
      </c>
    </row>
    <row r="64" spans="1:16" ht="12.95">
      <c r="A64" s="13" t="str">
        <f>Kriteeristö!C64</f>
        <v>FYY-07.3</v>
      </c>
      <c r="B64" s="12" t="str">
        <f>Kriteeristö!E64</f>
        <v>TL III</v>
      </c>
      <c r="C64" s="12">
        <f>Kriteeristö!F64</f>
        <v>0</v>
      </c>
      <c r="D64" s="12">
        <f>Kriteeristö!G64</f>
        <v>0</v>
      </c>
      <c r="E64" s="12">
        <f>Kriteeristö!H64</f>
        <v>0</v>
      </c>
      <c r="F64" s="34" t="str">
        <f>Kriteeristö!L64</f>
        <v xml:space="preserve">Turva-alue - pääsyoikeuksien myöntäminen </v>
      </c>
      <c r="G64" s="49">
        <v>2</v>
      </c>
      <c r="H64" s="49">
        <v>2</v>
      </c>
      <c r="I64" s="49">
        <v>2</v>
      </c>
      <c r="J64" s="49">
        <v>0</v>
      </c>
      <c r="K64" s="49">
        <v>0</v>
      </c>
      <c r="L64" s="49">
        <v>0</v>
      </c>
      <c r="M64" s="49">
        <v>0</v>
      </c>
      <c r="N64" s="49">
        <v>0</v>
      </c>
      <c r="O64" s="49">
        <v>0</v>
      </c>
      <c r="P64" s="49">
        <v>0</v>
      </c>
    </row>
    <row r="65" spans="1:16" ht="12.95">
      <c r="A65" s="13" t="str">
        <f>Kriteeristö!C65</f>
        <v>FYY-07.4</v>
      </c>
      <c r="B65" s="12" t="str">
        <f>Kriteeristö!E65</f>
        <v>TL III</v>
      </c>
      <c r="C65" s="12">
        <f>Kriteeristö!F65</f>
        <v>0</v>
      </c>
      <c r="D65" s="12">
        <f>Kriteeristö!G65</f>
        <v>0</v>
      </c>
      <c r="E65" s="12">
        <f>Kriteeristö!H65</f>
        <v>0</v>
      </c>
      <c r="F65" s="34" t="str">
        <f>Kriteeristö!L65</f>
        <v>Turva-alue - vierailijat</v>
      </c>
      <c r="G65" s="49">
        <v>2</v>
      </c>
      <c r="H65" s="49">
        <v>2</v>
      </c>
      <c r="I65" s="49">
        <v>2</v>
      </c>
      <c r="J65" s="49">
        <v>0</v>
      </c>
      <c r="K65" s="49">
        <v>0</v>
      </c>
      <c r="L65" s="49">
        <v>0</v>
      </c>
      <c r="M65" s="49">
        <v>0</v>
      </c>
      <c r="N65" s="49">
        <v>0</v>
      </c>
      <c r="O65" s="49">
        <v>0</v>
      </c>
      <c r="P65" s="49">
        <v>0</v>
      </c>
    </row>
    <row r="66" spans="1:16" ht="12.95">
      <c r="A66" s="13" t="str">
        <f>Kriteeristö!C66</f>
        <v>FYY-07.5</v>
      </c>
      <c r="B66" s="12" t="str">
        <f>Kriteeristö!E66</f>
        <v>TL III</v>
      </c>
      <c r="C66" s="12">
        <f>Kriteeristö!F66</f>
        <v>0</v>
      </c>
      <c r="D66" s="12">
        <f>Kriteeristö!G66</f>
        <v>0</v>
      </c>
      <c r="E66" s="12">
        <f>Kriteeristö!H66</f>
        <v>0</v>
      </c>
      <c r="F66" s="34" t="str">
        <f>Kriteeristö!L66</f>
        <v>Turva-alue - turvallisuusohjeet</v>
      </c>
      <c r="G66" s="49">
        <v>2</v>
      </c>
      <c r="H66" s="49">
        <v>2</v>
      </c>
      <c r="I66" s="49">
        <v>2</v>
      </c>
      <c r="J66" s="49">
        <v>0</v>
      </c>
      <c r="K66" s="49">
        <v>0</v>
      </c>
      <c r="L66" s="49">
        <v>0</v>
      </c>
      <c r="M66" s="49">
        <v>0</v>
      </c>
      <c r="N66" s="49">
        <v>0</v>
      </c>
      <c r="O66" s="49">
        <v>0</v>
      </c>
      <c r="P66" s="49">
        <v>0</v>
      </c>
    </row>
    <row r="67" spans="1:16" ht="12.95">
      <c r="A67" s="13" t="str">
        <f>Kriteeristö!C67</f>
        <v>FYY-07.6</v>
      </c>
      <c r="B67" s="12" t="str">
        <f>Kriteeristö!E67</f>
        <v>TL III</v>
      </c>
      <c r="C67" s="12">
        <f>Kriteeristö!F67</f>
        <v>0</v>
      </c>
      <c r="D67" s="12">
        <f>Kriteeristö!G67</f>
        <v>0</v>
      </c>
      <c r="E67" s="12">
        <f>Kriteeristö!H67</f>
        <v>0</v>
      </c>
      <c r="F67" s="34" t="str">
        <f>Kriteeristö!L67</f>
        <v>Turva-alue - tunkeutumisen ilmaisujärjestelmät</v>
      </c>
      <c r="G67" s="49">
        <v>2</v>
      </c>
      <c r="H67" s="49">
        <v>2</v>
      </c>
      <c r="I67" s="49">
        <v>2</v>
      </c>
      <c r="J67" s="49">
        <v>0</v>
      </c>
      <c r="K67" s="49">
        <v>0</v>
      </c>
      <c r="L67" s="49">
        <v>0</v>
      </c>
      <c r="M67" s="49">
        <v>0</v>
      </c>
      <c r="N67" s="49">
        <v>0</v>
      </c>
      <c r="O67" s="49">
        <v>0</v>
      </c>
      <c r="P67" s="49">
        <v>0</v>
      </c>
    </row>
    <row r="68" spans="1:16" ht="12.95">
      <c r="A68" s="13" t="str">
        <f>Kriteeristö!C68</f>
        <v>FYY-07.7</v>
      </c>
      <c r="B68" s="12" t="str">
        <f>Kriteeristö!E68</f>
        <v>TL III</v>
      </c>
      <c r="C68" s="12">
        <f>Kriteeristö!F68</f>
        <v>0</v>
      </c>
      <c r="D68" s="12">
        <f>Kriteeristö!G68</f>
        <v>0</v>
      </c>
      <c r="E68" s="12">
        <f>Kriteeristö!H68</f>
        <v>0</v>
      </c>
      <c r="F68" s="34" t="str">
        <f>Kriteeristö!L68</f>
        <v>Turva-alue - säilytysyksiköiden avaimet ja pääsykoodit</v>
      </c>
      <c r="G68" s="49">
        <v>2</v>
      </c>
      <c r="H68" s="49">
        <v>2</v>
      </c>
      <c r="I68" s="49">
        <v>2</v>
      </c>
      <c r="J68" s="49">
        <v>0</v>
      </c>
      <c r="K68" s="49">
        <v>0</v>
      </c>
      <c r="L68" s="49">
        <v>0</v>
      </c>
      <c r="M68" s="49">
        <v>0</v>
      </c>
      <c r="N68" s="49">
        <v>0</v>
      </c>
      <c r="O68" s="49">
        <v>0</v>
      </c>
      <c r="P68" s="49">
        <v>0</v>
      </c>
    </row>
    <row r="69" spans="1:16" ht="12.95">
      <c r="A69" s="13" t="str">
        <f>Kriteeristö!C69</f>
        <v>FYY-08</v>
      </c>
      <c r="B69" s="12" t="str">
        <f>Kriteeristö!E69</f>
        <v>Salassa pidettävä</v>
      </c>
      <c r="C69" s="12">
        <f>Kriteeristö!F69</f>
        <v>0</v>
      </c>
      <c r="D69" s="12">
        <f>Kriteeristö!G69</f>
        <v>0</v>
      </c>
      <c r="E69" s="12" t="str">
        <f>Kriteeristö!H69</f>
        <v>Erityinen henkilötietoryhmä</v>
      </c>
      <c r="F69" s="34" t="str">
        <f>Kriteeristö!L69</f>
        <v>Tietojen kuljettaminen</v>
      </c>
      <c r="G69" s="49">
        <v>1</v>
      </c>
      <c r="H69" s="49">
        <v>1</v>
      </c>
      <c r="I69" s="49">
        <v>1</v>
      </c>
      <c r="J69" s="49">
        <v>0</v>
      </c>
      <c r="K69" s="49">
        <v>0</v>
      </c>
      <c r="L69" s="49">
        <v>0</v>
      </c>
      <c r="M69" s="49">
        <v>0</v>
      </c>
      <c r="N69" s="49">
        <v>0</v>
      </c>
      <c r="O69" s="49">
        <v>0</v>
      </c>
      <c r="P69" s="49">
        <v>0</v>
      </c>
    </row>
    <row r="70" spans="1:16" ht="12.95">
      <c r="A70" s="13" t="str">
        <f>Kriteeristö!C70</f>
        <v>FYY-08.1</v>
      </c>
      <c r="B70" s="12" t="str">
        <f>Kriteeristö!E70</f>
        <v>TL IV</v>
      </c>
      <c r="C70" s="12">
        <f>Kriteeristö!F70</f>
        <v>0</v>
      </c>
      <c r="D70" s="12">
        <f>Kriteeristö!G70</f>
        <v>0</v>
      </c>
      <c r="E70" s="12">
        <f>Kriteeristö!H70</f>
        <v>0</v>
      </c>
      <c r="F70" s="34" t="str">
        <f>Kriteeristö!L70</f>
        <v>Tietojen kuljettaminen - TL IV</v>
      </c>
      <c r="G70" s="49">
        <v>0</v>
      </c>
      <c r="H70" s="49">
        <v>2</v>
      </c>
      <c r="I70" s="49">
        <v>1</v>
      </c>
      <c r="J70" s="49">
        <v>0</v>
      </c>
      <c r="K70" s="49">
        <v>0</v>
      </c>
      <c r="L70" s="49">
        <v>0</v>
      </c>
      <c r="M70" s="49">
        <v>0</v>
      </c>
      <c r="N70" s="49">
        <v>0</v>
      </c>
      <c r="O70" s="49">
        <v>0</v>
      </c>
      <c r="P70" s="49">
        <v>0</v>
      </c>
    </row>
    <row r="71" spans="1:16" ht="12.95">
      <c r="A71" s="13" t="str">
        <f>Kriteeristö!C71</f>
        <v>FYY-08.2</v>
      </c>
      <c r="B71" s="12" t="str">
        <f>Kriteeristö!E71</f>
        <v>TL III</v>
      </c>
      <c r="C71" s="12">
        <f>Kriteeristö!F71</f>
        <v>0</v>
      </c>
      <c r="D71" s="12">
        <f>Kriteeristö!G71</f>
        <v>0</v>
      </c>
      <c r="E71" s="12">
        <f>Kriteeristö!H71</f>
        <v>0</v>
      </c>
      <c r="F71" s="34" t="str">
        <f>Kriteeristö!L71</f>
        <v>Tietojen kuljettaminen - TL III</v>
      </c>
      <c r="G71" s="49">
        <v>0</v>
      </c>
      <c r="H71" s="49">
        <v>2</v>
      </c>
      <c r="I71" s="49">
        <v>1</v>
      </c>
      <c r="J71" s="49">
        <v>0</v>
      </c>
      <c r="K71" s="49">
        <v>0</v>
      </c>
      <c r="L71" s="49">
        <v>0</v>
      </c>
      <c r="M71" s="49">
        <v>0</v>
      </c>
      <c r="N71" s="49">
        <v>0</v>
      </c>
      <c r="O71" s="49">
        <v>0</v>
      </c>
      <c r="P71" s="49">
        <v>0</v>
      </c>
    </row>
    <row r="72" spans="1:16" ht="12.95">
      <c r="A72" s="13" t="str">
        <f>Kriteeristö!C72</f>
        <v>FYY-08.3</v>
      </c>
      <c r="B72" s="12" t="str">
        <f>Kriteeristö!E72</f>
        <v>TL II</v>
      </c>
      <c r="C72" s="12">
        <f>Kriteeristö!F72</f>
        <v>0</v>
      </c>
      <c r="D72" s="12">
        <f>Kriteeristö!G72</f>
        <v>0</v>
      </c>
      <c r="E72" s="12">
        <f>Kriteeristö!H72</f>
        <v>0</v>
      </c>
      <c r="F72" s="34" t="str">
        <f>Kriteeristö!L72</f>
        <v>Tietojen kuljettaminen - TL II</v>
      </c>
      <c r="G72" s="49">
        <v>0</v>
      </c>
      <c r="H72" s="49">
        <v>2</v>
      </c>
      <c r="I72" s="49">
        <v>1</v>
      </c>
      <c r="J72" s="49">
        <v>0</v>
      </c>
      <c r="K72" s="49">
        <v>0</v>
      </c>
      <c r="L72" s="49">
        <v>0</v>
      </c>
      <c r="M72" s="49">
        <v>0</v>
      </c>
      <c r="N72" s="49">
        <v>0</v>
      </c>
      <c r="O72" s="49">
        <v>0</v>
      </c>
      <c r="P72" s="49">
        <v>0</v>
      </c>
    </row>
    <row r="73" spans="1:16" ht="12.95">
      <c r="A73" s="13" t="str">
        <f>Kriteeristö!C73</f>
        <v>FYY-09</v>
      </c>
      <c r="B73" s="12" t="str">
        <f>Kriteeristö!E73</f>
        <v>Salassa pidettävä</v>
      </c>
      <c r="C73" s="12">
        <f>Kriteeristö!F73</f>
        <v>0</v>
      </c>
      <c r="D73" s="12">
        <f>Kriteeristö!G73</f>
        <v>0</v>
      </c>
      <c r="E73" s="12" t="str">
        <f>Kriteeristö!H73</f>
        <v>Erityinen henkilötietoryhmä</v>
      </c>
      <c r="F73" s="34" t="str">
        <f>Kriteeristö!L73</f>
        <v>Tietojen kopioiminen</v>
      </c>
      <c r="G73" s="49">
        <v>1</v>
      </c>
      <c r="H73" s="49">
        <v>1</v>
      </c>
      <c r="I73" s="49">
        <v>1</v>
      </c>
      <c r="J73" s="49">
        <v>0</v>
      </c>
      <c r="K73" s="49">
        <v>0</v>
      </c>
      <c r="L73" s="49">
        <v>0</v>
      </c>
      <c r="M73" s="49">
        <v>0</v>
      </c>
      <c r="N73" s="49">
        <v>0</v>
      </c>
      <c r="O73" s="49">
        <v>0</v>
      </c>
      <c r="P73" s="49">
        <v>0</v>
      </c>
    </row>
    <row r="74" spans="1:16" ht="12.95">
      <c r="A74" s="13" t="str">
        <f>Kriteeristö!C74</f>
        <v>FYY-09.1</v>
      </c>
      <c r="B74" s="12" t="str">
        <f>Kriteeristö!E74</f>
        <v>TL II</v>
      </c>
      <c r="C74" s="12">
        <f>Kriteeristö!F74</f>
        <v>0</v>
      </c>
      <c r="D74" s="12">
        <f>Kriteeristö!G74</f>
        <v>0</v>
      </c>
      <c r="E74" s="12">
        <f>Kriteeristö!H74</f>
        <v>0</v>
      </c>
      <c r="F74" s="34" t="str">
        <f>Kriteeristö!L74</f>
        <v>Tietojen kopioiminen - TL II</v>
      </c>
      <c r="G74" s="49">
        <v>0</v>
      </c>
      <c r="H74" s="49">
        <v>2</v>
      </c>
      <c r="I74" s="49">
        <v>1</v>
      </c>
      <c r="J74" s="49">
        <v>0</v>
      </c>
      <c r="K74" s="49">
        <v>0</v>
      </c>
      <c r="L74" s="49">
        <v>0</v>
      </c>
      <c r="M74" s="49">
        <v>0</v>
      </c>
      <c r="N74" s="49">
        <v>0</v>
      </c>
      <c r="O74" s="49">
        <v>0</v>
      </c>
      <c r="P74" s="49">
        <v>0</v>
      </c>
    </row>
    <row r="75" spans="1:16" ht="12.95">
      <c r="A75" s="13" t="str">
        <f>Kriteeristö!C75</f>
        <v>FYY-10</v>
      </c>
      <c r="B75" s="12" t="str">
        <f>Kriteeristö!E75</f>
        <v>TL III</v>
      </c>
      <c r="C75" s="12">
        <f>Kriteeristö!F75</f>
        <v>0</v>
      </c>
      <c r="D75" s="12">
        <f>Kriteeristö!G75</f>
        <v>0</v>
      </c>
      <c r="E75" s="12">
        <f>Kriteeristö!H75</f>
        <v>0</v>
      </c>
      <c r="F75" s="34" t="str">
        <f>Kriteeristö!L75</f>
        <v>Tietojen kirjaaminen</v>
      </c>
      <c r="G75" s="49">
        <v>0</v>
      </c>
      <c r="H75" s="49">
        <v>1</v>
      </c>
      <c r="I75" s="49">
        <v>1</v>
      </c>
      <c r="J75" s="49">
        <v>0</v>
      </c>
      <c r="K75" s="49">
        <v>0</v>
      </c>
      <c r="L75" s="49">
        <v>0</v>
      </c>
      <c r="M75" s="49">
        <v>0</v>
      </c>
      <c r="N75" s="49">
        <v>0</v>
      </c>
      <c r="O75" s="49">
        <v>0</v>
      </c>
      <c r="P75" s="49">
        <v>0</v>
      </c>
    </row>
    <row r="76" spans="1:16" ht="12.95">
      <c r="A76" s="13" t="str">
        <f>Kriteeristö!C76</f>
        <v>FYY-11</v>
      </c>
      <c r="B76" s="12" t="str">
        <f>Kriteeristö!E76</f>
        <v>Salassa pidettävä</v>
      </c>
      <c r="C76" s="12">
        <f>Kriteeristö!F76</f>
        <v>0</v>
      </c>
      <c r="D76" s="12">
        <f>Kriteeristö!G76</f>
        <v>0</v>
      </c>
      <c r="E76" s="12" t="str">
        <f>Kriteeristö!H76</f>
        <v>Erityinen henkilötietoryhmä</v>
      </c>
      <c r="F76" s="34" t="str">
        <f>Kriteeristö!L76</f>
        <v>Tietojen fyysinen tuhoaminen</v>
      </c>
      <c r="G76" s="49">
        <v>1</v>
      </c>
      <c r="H76" s="49">
        <v>1</v>
      </c>
      <c r="I76" s="49">
        <v>1</v>
      </c>
      <c r="J76" s="49">
        <v>0</v>
      </c>
      <c r="K76" s="49">
        <v>0</v>
      </c>
      <c r="L76" s="49">
        <v>0</v>
      </c>
      <c r="M76" s="49">
        <v>0</v>
      </c>
      <c r="N76" s="49">
        <v>0</v>
      </c>
      <c r="O76" s="49">
        <v>0</v>
      </c>
      <c r="P76" s="49">
        <v>0</v>
      </c>
    </row>
    <row r="77" spans="1:16" ht="12.95">
      <c r="A77" s="13" t="str">
        <f>Kriteeristö!C77</f>
        <v>FYY-11.1</v>
      </c>
      <c r="B77" s="12" t="str">
        <f>Kriteeristö!E77</f>
        <v>TL IV</v>
      </c>
      <c r="C77" s="12">
        <f>Kriteeristö!F77</f>
        <v>0</v>
      </c>
      <c r="D77" s="12">
        <f>Kriteeristö!G77</f>
        <v>0</v>
      </c>
      <c r="E77" s="12">
        <f>Kriteeristö!H77</f>
        <v>0</v>
      </c>
      <c r="F77" s="34" t="str">
        <f>Kriteeristö!L77</f>
        <v>Tietojen fyysinen tuhoaminen - TL IV</v>
      </c>
      <c r="G77" s="49">
        <v>0</v>
      </c>
      <c r="H77" s="49">
        <v>2</v>
      </c>
      <c r="I77" s="49">
        <v>1</v>
      </c>
      <c r="J77" s="49">
        <v>0</v>
      </c>
      <c r="K77" s="49">
        <v>0</v>
      </c>
      <c r="L77" s="49">
        <v>0</v>
      </c>
      <c r="M77" s="49">
        <v>0</v>
      </c>
      <c r="N77" s="49">
        <v>0</v>
      </c>
      <c r="O77" s="49">
        <v>0</v>
      </c>
      <c r="P77" s="49">
        <v>0</v>
      </c>
    </row>
    <row r="78" spans="1:16" ht="12.95">
      <c r="A78" s="13" t="str">
        <f>Kriteeristö!C78</f>
        <v>FYY-11.2</v>
      </c>
      <c r="B78" s="12" t="str">
        <f>Kriteeristö!E78</f>
        <v>TL III</v>
      </c>
      <c r="C78" s="12">
        <f>Kriteeristö!F78</f>
        <v>0</v>
      </c>
      <c r="D78" s="12">
        <f>Kriteeristö!G78</f>
        <v>0</v>
      </c>
      <c r="E78" s="12">
        <f>Kriteeristö!H78</f>
        <v>0</v>
      </c>
      <c r="F78" s="34" t="str">
        <f>Kriteeristö!L78</f>
        <v>Tietojen fyysinen tuhoaminen - TL III</v>
      </c>
      <c r="G78" s="49">
        <v>0</v>
      </c>
      <c r="H78" s="49">
        <v>2</v>
      </c>
      <c r="I78" s="49">
        <v>1</v>
      </c>
      <c r="J78" s="49">
        <v>0</v>
      </c>
      <c r="K78" s="49">
        <v>0</v>
      </c>
      <c r="L78" s="49">
        <v>0</v>
      </c>
      <c r="M78" s="49">
        <v>0</v>
      </c>
      <c r="N78" s="49">
        <v>0</v>
      </c>
      <c r="O78" s="49">
        <v>0</v>
      </c>
      <c r="P78" s="49">
        <v>0</v>
      </c>
    </row>
    <row r="79" spans="1:16" ht="12.95">
      <c r="A79" s="13" t="str">
        <f>Kriteeristö!C79</f>
        <v>FYY-11.3</v>
      </c>
      <c r="B79" s="12" t="str">
        <f>Kriteeristö!E79</f>
        <v>TL II</v>
      </c>
      <c r="C79" s="12">
        <f>Kriteeristö!F79</f>
        <v>0</v>
      </c>
      <c r="D79" s="12">
        <f>Kriteeristö!G79</f>
        <v>0</v>
      </c>
      <c r="E79" s="12">
        <f>Kriteeristö!H79</f>
        <v>0</v>
      </c>
      <c r="F79" s="34" t="str">
        <f>Kriteeristö!L79</f>
        <v>Tietojen fyysinen tuhoaminen - TL II</v>
      </c>
      <c r="G79" s="49">
        <v>0</v>
      </c>
      <c r="H79" s="49">
        <v>2</v>
      </c>
      <c r="I79" s="49">
        <v>1</v>
      </c>
      <c r="J79" s="49">
        <v>0</v>
      </c>
      <c r="K79" s="49">
        <v>0</v>
      </c>
      <c r="L79" s="49">
        <v>0</v>
      </c>
      <c r="M79" s="49">
        <v>0</v>
      </c>
      <c r="N79" s="49">
        <v>0</v>
      </c>
      <c r="O79" s="49">
        <v>0</v>
      </c>
      <c r="P79" s="49">
        <v>0</v>
      </c>
    </row>
    <row r="80" spans="1:16" ht="12.95">
      <c r="A80" s="13" t="str">
        <f>Kriteeristö!C80</f>
        <v>TEK-01</v>
      </c>
      <c r="B80" s="12" t="str">
        <f>Kriteeristö!E80</f>
        <v>Salassa pidettävä</v>
      </c>
      <c r="C80" s="12">
        <f>Kriteeristö!F80</f>
        <v>0</v>
      </c>
      <c r="D80" s="12">
        <f>Kriteeristö!G80</f>
        <v>0</v>
      </c>
      <c r="E80" s="12" t="str">
        <f>Kriteeristö!H80</f>
        <v>Erityinen henkilötietoryhmä</v>
      </c>
      <c r="F80" s="34" t="str">
        <f>Kriteeristö!L80</f>
        <v>Verkon rakenteellinen turvallisuus</v>
      </c>
      <c r="G80" s="49">
        <v>1</v>
      </c>
      <c r="H80" s="49">
        <v>1</v>
      </c>
      <c r="I80" s="49">
        <v>1</v>
      </c>
      <c r="J80" s="49">
        <v>0</v>
      </c>
      <c r="K80" s="49">
        <v>0</v>
      </c>
      <c r="L80" s="49">
        <v>0</v>
      </c>
      <c r="M80" s="49">
        <v>0</v>
      </c>
      <c r="N80" s="49">
        <v>0</v>
      </c>
      <c r="O80" s="49">
        <v>0</v>
      </c>
      <c r="P80" s="49">
        <v>0</v>
      </c>
    </row>
    <row r="81" spans="1:16" ht="26.1">
      <c r="A81" s="13" t="str">
        <f>Kriteeristö!C81</f>
        <v>TEK-01.1</v>
      </c>
      <c r="B81" s="12" t="str">
        <f>Kriteeristö!E81</f>
        <v>Salassa pidettävä</v>
      </c>
      <c r="C81" s="12" t="str">
        <f>Kriteeristö!F81</f>
        <v>Kriittinen</v>
      </c>
      <c r="D81" s="12">
        <f>Kriteeristö!G81</f>
        <v>0</v>
      </c>
      <c r="E81" s="12" t="str">
        <f>Kriteeristö!H81</f>
        <v>Henkilötieto</v>
      </c>
      <c r="F81" s="34" t="str">
        <f>Kriteeristö!L81</f>
        <v>Verkon rakenteellinen turvallisuus - salaus yleisissä tietoverkoissa</v>
      </c>
      <c r="G81" s="49">
        <v>1</v>
      </c>
      <c r="H81" s="49">
        <v>1</v>
      </c>
      <c r="I81" s="49">
        <v>1</v>
      </c>
      <c r="J81" s="49">
        <v>0</v>
      </c>
      <c r="K81" s="49">
        <v>0</v>
      </c>
      <c r="L81" s="49">
        <v>0</v>
      </c>
      <c r="M81" s="49">
        <v>0</v>
      </c>
      <c r="N81" s="49">
        <v>0</v>
      </c>
      <c r="O81" s="49">
        <v>0</v>
      </c>
      <c r="P81" s="49">
        <v>0</v>
      </c>
    </row>
    <row r="82" spans="1:16" ht="12.95">
      <c r="A82" s="13" t="str">
        <f>Kriteeristö!C82</f>
        <v>TEK-01.2</v>
      </c>
      <c r="B82" s="12" t="str">
        <f>Kriteeristö!E82</f>
        <v>Salassa pidettävä</v>
      </c>
      <c r="C82" s="12" t="str">
        <f>Kriteeristö!F82</f>
        <v>Tärkeä</v>
      </c>
      <c r="D82" s="12">
        <f>Kriteeristö!G82</f>
        <v>0</v>
      </c>
      <c r="E82" s="12" t="str">
        <f>Kriteeristö!H82</f>
        <v>Erityinen henkilötietoryhmä</v>
      </c>
      <c r="F82" s="34" t="str">
        <f>Kriteeristö!L82</f>
        <v>Verkon rakenteellinen turvallisuus - palomuuri</v>
      </c>
      <c r="G82" s="49">
        <v>0</v>
      </c>
      <c r="H82" s="49">
        <v>2</v>
      </c>
      <c r="I82" s="49">
        <v>1</v>
      </c>
      <c r="J82" s="49">
        <v>0</v>
      </c>
      <c r="K82" s="49">
        <v>0</v>
      </c>
      <c r="L82" s="49">
        <v>0</v>
      </c>
      <c r="M82" s="49">
        <v>0</v>
      </c>
      <c r="N82" s="49">
        <v>0</v>
      </c>
      <c r="O82" s="49">
        <v>0</v>
      </c>
      <c r="P82" s="49">
        <v>0</v>
      </c>
    </row>
    <row r="83" spans="1:16" ht="26.1">
      <c r="A83" s="13" t="str">
        <f>Kriteeristö!C83</f>
        <v>TEK-01.3</v>
      </c>
      <c r="B83" s="12" t="str">
        <f>Kriteeristö!E83</f>
        <v>TL IV</v>
      </c>
      <c r="C83" s="12">
        <f>Kriteeristö!F83</f>
        <v>0</v>
      </c>
      <c r="D83" s="12">
        <f>Kriteeristö!G83</f>
        <v>0</v>
      </c>
      <c r="E83" s="12">
        <f>Kriteeristö!H83</f>
        <v>0</v>
      </c>
      <c r="F83" s="34" t="str">
        <f>Kriteeristö!L83</f>
        <v>Verkon rakenteellinen turvallisuus - käsittely-ympäristöjen erottaminen</v>
      </c>
      <c r="G83" s="49">
        <v>1</v>
      </c>
      <c r="H83" s="49">
        <v>1</v>
      </c>
      <c r="I83" s="49">
        <v>1</v>
      </c>
      <c r="J83" s="49">
        <v>0</v>
      </c>
      <c r="K83" s="49">
        <v>0</v>
      </c>
      <c r="L83" s="49">
        <v>0</v>
      </c>
      <c r="M83" s="49">
        <v>0</v>
      </c>
      <c r="N83" s="49">
        <v>0</v>
      </c>
      <c r="O83" s="49">
        <v>0</v>
      </c>
      <c r="P83" s="49">
        <v>0</v>
      </c>
    </row>
    <row r="84" spans="1:16" ht="26.1">
      <c r="A84" s="13" t="str">
        <f>Kriteeristö!C84</f>
        <v>TEK-01.4</v>
      </c>
      <c r="B84" s="12" t="str">
        <f>Kriteeristö!E84</f>
        <v>TL IV</v>
      </c>
      <c r="C84" s="12">
        <f>Kriteeristö!F84</f>
        <v>0</v>
      </c>
      <c r="D84" s="12">
        <f>Kriteeristö!G84</f>
        <v>0</v>
      </c>
      <c r="E84" s="12">
        <f>Kriteeristö!H84</f>
        <v>0</v>
      </c>
      <c r="F84" s="34" t="str">
        <f>Kriteeristö!L84</f>
        <v>Verkon rakenteellinen turvallisuus - salaaminen turva-alueiden ulkopuolella</v>
      </c>
      <c r="G84" s="49">
        <v>0</v>
      </c>
      <c r="H84" s="49">
        <v>2</v>
      </c>
      <c r="I84" s="49">
        <v>1</v>
      </c>
      <c r="J84" s="49">
        <v>0</v>
      </c>
      <c r="K84" s="49">
        <v>0</v>
      </c>
      <c r="L84" s="49">
        <v>0</v>
      </c>
      <c r="M84" s="49">
        <v>0</v>
      </c>
      <c r="N84" s="49">
        <v>0</v>
      </c>
      <c r="O84" s="49">
        <v>0</v>
      </c>
      <c r="P84" s="49">
        <v>0</v>
      </c>
    </row>
    <row r="85" spans="1:16" ht="12.95">
      <c r="A85" s="13" t="str">
        <f>Kriteeristö!C85</f>
        <v>TEK-01.5</v>
      </c>
      <c r="B85" s="12" t="str">
        <f>Kriteeristö!E85</f>
        <v>TL III</v>
      </c>
      <c r="C85" s="12">
        <f>Kriteeristö!F85</f>
        <v>0</v>
      </c>
      <c r="D85" s="12">
        <f>Kriteeristö!G85</f>
        <v>0</v>
      </c>
      <c r="E85" s="12">
        <f>Kriteeristö!H85</f>
        <v>0</v>
      </c>
      <c r="F85" s="34" t="str">
        <f>Kriteeristö!L85</f>
        <v>Verkon rakenteellinen turvallisuus - yhdyskäytäväratkaisun käyttö</v>
      </c>
      <c r="G85" s="49">
        <v>0</v>
      </c>
      <c r="H85" s="49">
        <v>2</v>
      </c>
      <c r="I85" s="49">
        <v>1</v>
      </c>
      <c r="J85" s="49">
        <v>0</v>
      </c>
      <c r="K85" s="49">
        <v>0</v>
      </c>
      <c r="L85" s="49">
        <v>0</v>
      </c>
      <c r="M85" s="49">
        <v>0</v>
      </c>
      <c r="N85" s="49">
        <v>0</v>
      </c>
      <c r="O85" s="49">
        <v>0</v>
      </c>
      <c r="P85" s="49">
        <v>0</v>
      </c>
    </row>
    <row r="86" spans="1:16" ht="12.95">
      <c r="A86" s="13" t="str">
        <f>Kriteeristö!C86</f>
        <v>TEK-01.6</v>
      </c>
      <c r="B86" s="12" t="str">
        <f>Kriteeristö!E86</f>
        <v>TL II</v>
      </c>
      <c r="C86" s="12">
        <f>Kriteeristö!F86</f>
        <v>0</v>
      </c>
      <c r="D86" s="12">
        <f>Kriteeristö!G86</f>
        <v>0</v>
      </c>
      <c r="E86" s="12">
        <f>Kriteeristö!H86</f>
        <v>0</v>
      </c>
      <c r="F86" s="34" t="str">
        <f>Kriteeristö!L86</f>
        <v>Verkon rakenteellinen turvallisuus - TL II käsittely</v>
      </c>
      <c r="G86" s="49">
        <v>0</v>
      </c>
      <c r="H86" s="49">
        <v>2</v>
      </c>
      <c r="I86" s="49">
        <v>1</v>
      </c>
      <c r="J86" s="49">
        <v>0</v>
      </c>
      <c r="K86" s="49">
        <v>0</v>
      </c>
      <c r="L86" s="49">
        <v>0</v>
      </c>
      <c r="M86" s="49">
        <v>0</v>
      </c>
      <c r="N86" s="49">
        <v>0</v>
      </c>
      <c r="O86" s="49">
        <v>0</v>
      </c>
      <c r="P86" s="49">
        <v>0</v>
      </c>
    </row>
    <row r="87" spans="1:16" ht="12.95">
      <c r="A87" s="13" t="str">
        <f>Kriteeristö!C87</f>
        <v>TEK-01.7</v>
      </c>
      <c r="B87" s="12" t="str">
        <f>Kriteeristö!E87</f>
        <v>TL I</v>
      </c>
      <c r="C87" s="12">
        <f>Kriteeristö!F87</f>
        <v>0</v>
      </c>
      <c r="D87" s="12">
        <f>Kriteeristö!G87</f>
        <v>0</v>
      </c>
      <c r="E87" s="12">
        <f>Kriteeristö!H87</f>
        <v>0</v>
      </c>
      <c r="F87" s="34" t="str">
        <f>Kriteeristö!L87</f>
        <v>Verkon rakenteellinen turvallisuus - TL I käsittely</v>
      </c>
      <c r="G87" s="49">
        <v>0</v>
      </c>
      <c r="H87" s="49">
        <v>2</v>
      </c>
      <c r="I87" s="49">
        <v>1</v>
      </c>
      <c r="J87" s="49">
        <v>0</v>
      </c>
      <c r="K87" s="49">
        <v>0</v>
      </c>
      <c r="L87" s="49">
        <v>0</v>
      </c>
      <c r="M87" s="49">
        <v>0</v>
      </c>
      <c r="N87" s="49">
        <v>0</v>
      </c>
      <c r="O87" s="49">
        <v>0</v>
      </c>
      <c r="P87" s="49">
        <v>0</v>
      </c>
    </row>
    <row r="88" spans="1:16" ht="12.95">
      <c r="A88" s="13" t="str">
        <f>Kriteeristö!C88</f>
        <v>TEK-02</v>
      </c>
      <c r="B88" s="12" t="str">
        <f>Kriteeristö!E88</f>
        <v>Salassa pidettävä</v>
      </c>
      <c r="C88" s="12" t="str">
        <f>Kriteeristö!F88</f>
        <v>Tärkeä</v>
      </c>
      <c r="D88" s="12" t="str">
        <f>Kriteeristö!G88</f>
        <v>Tärkeä</v>
      </c>
      <c r="E88" s="12" t="str">
        <f>Kriteeristö!H88</f>
        <v>Erityinen henkilötietoryhmä</v>
      </c>
      <c r="F88" s="34" t="str">
        <f>Kriteeristö!L88</f>
        <v>Tietoliikenne-verkon vyöhykkeistäminen</v>
      </c>
      <c r="G88" s="49">
        <v>1</v>
      </c>
      <c r="H88" s="49">
        <v>1</v>
      </c>
      <c r="I88" s="49">
        <v>1</v>
      </c>
      <c r="J88" s="49">
        <v>0</v>
      </c>
      <c r="K88" s="49">
        <v>0</v>
      </c>
      <c r="L88" s="49">
        <v>0</v>
      </c>
      <c r="M88" s="49">
        <v>0</v>
      </c>
      <c r="N88" s="49">
        <v>0</v>
      </c>
      <c r="O88" s="49">
        <v>0</v>
      </c>
      <c r="P88" s="49">
        <v>0</v>
      </c>
    </row>
    <row r="89" spans="1:16" ht="26.1">
      <c r="A89" s="13" t="str">
        <f>Kriteeristö!C89</f>
        <v>TEK-02.1</v>
      </c>
      <c r="B89" s="12" t="str">
        <f>Kriteeristö!E89</f>
        <v>TL IV</v>
      </c>
      <c r="C89" s="12">
        <f>Kriteeristö!F89</f>
        <v>0</v>
      </c>
      <c r="D89" s="12">
        <f>Kriteeristö!G89</f>
        <v>0</v>
      </c>
      <c r="E89" s="12">
        <f>Kriteeristö!H89</f>
        <v>0</v>
      </c>
      <c r="F89" s="34" t="str">
        <f>Kriteeristö!L89</f>
        <v>Tietoliikenne-verkon vyöhykkeistäminen - vähimpien oikeuksien periaate</v>
      </c>
      <c r="G89" s="49">
        <v>0</v>
      </c>
      <c r="H89" s="49">
        <v>1</v>
      </c>
      <c r="I89" s="49">
        <v>1</v>
      </c>
      <c r="J89" s="49">
        <v>0</v>
      </c>
      <c r="K89" s="49">
        <v>0</v>
      </c>
      <c r="L89" s="49">
        <v>0</v>
      </c>
      <c r="M89" s="49">
        <v>0</v>
      </c>
      <c r="N89" s="49">
        <v>0</v>
      </c>
      <c r="O89" s="49">
        <v>0</v>
      </c>
      <c r="P89" s="49">
        <v>0</v>
      </c>
    </row>
    <row r="90" spans="1:16" ht="12.95">
      <c r="A90" s="13" t="str">
        <f>Kriteeristö!C90</f>
        <v>TEK-03</v>
      </c>
      <c r="B90" s="12" t="str">
        <f>Kriteeristö!E90</f>
        <v>Salassa pidettävä</v>
      </c>
      <c r="C90" s="12" t="str">
        <f>Kriteeristö!F90</f>
        <v>Tärkeä</v>
      </c>
      <c r="D90" s="12" t="str">
        <f>Kriteeristö!G90</f>
        <v>Tärkeä</v>
      </c>
      <c r="E90" s="12" t="str">
        <f>Kriteeristö!H90</f>
        <v>Erityinen henkilötietoryhmä</v>
      </c>
      <c r="F90" s="34" t="str">
        <f>Kriteeristö!L90</f>
        <v>Suodatus- ja valvontajärjestelmien hallinnointi</v>
      </c>
      <c r="G90" s="49">
        <v>0</v>
      </c>
      <c r="H90" s="49">
        <v>1</v>
      </c>
      <c r="I90" s="49">
        <v>1</v>
      </c>
      <c r="J90" s="49">
        <v>0</v>
      </c>
      <c r="K90" s="49">
        <v>0</v>
      </c>
      <c r="L90" s="49">
        <v>0</v>
      </c>
      <c r="M90" s="49">
        <v>0</v>
      </c>
      <c r="N90" s="49">
        <v>0</v>
      </c>
      <c r="O90" s="49">
        <v>0</v>
      </c>
      <c r="P90" s="49">
        <v>0</v>
      </c>
    </row>
    <row r="91" spans="1:16" ht="26.1">
      <c r="A91" s="13" t="str">
        <f>Kriteeristö!C91</f>
        <v>TEK-03.1</v>
      </c>
      <c r="B91" s="12" t="str">
        <f>Kriteeristö!E91</f>
        <v>Salassa pidettävä</v>
      </c>
      <c r="C91" s="12" t="str">
        <f>Kriteeristö!F91</f>
        <v>Tärkeä</v>
      </c>
      <c r="D91" s="12" t="str">
        <f>Kriteeristö!G91</f>
        <v>Tärkeä</v>
      </c>
      <c r="E91" s="12" t="str">
        <f>Kriteeristö!H91</f>
        <v>Erityinen henkilötietoryhmä</v>
      </c>
      <c r="F91" s="34" t="str">
        <f>Kriteeristö!L91</f>
        <v>Suodatus- ja valvontajärjestelmien hallinnointi - vastuutus ja organisointi</v>
      </c>
      <c r="G91" s="49">
        <v>0</v>
      </c>
      <c r="H91" s="49">
        <v>1</v>
      </c>
      <c r="I91" s="49">
        <v>1</v>
      </c>
      <c r="J91" s="49">
        <v>0</v>
      </c>
      <c r="K91" s="49">
        <v>0</v>
      </c>
      <c r="L91" s="49">
        <v>0</v>
      </c>
      <c r="M91" s="49">
        <v>0</v>
      </c>
      <c r="N91" s="49">
        <v>0</v>
      </c>
      <c r="O91" s="49">
        <v>0</v>
      </c>
      <c r="P91" s="49">
        <v>0</v>
      </c>
    </row>
    <row r="92" spans="1:16" ht="12.95">
      <c r="A92" s="13" t="str">
        <f>Kriteeristö!C92</f>
        <v>TEK-03.2</v>
      </c>
      <c r="B92" s="12" t="str">
        <f>Kriteeristö!E92</f>
        <v>Salassa pidettävä</v>
      </c>
      <c r="C92" s="12" t="str">
        <f>Kriteeristö!F92</f>
        <v>Tärkeä</v>
      </c>
      <c r="D92" s="12" t="str">
        <f>Kriteeristö!G92</f>
        <v>Tärkeä</v>
      </c>
      <c r="E92" s="12" t="str">
        <f>Kriteeristö!H92</f>
        <v>Erityinen henkilötietoryhmä</v>
      </c>
      <c r="F92" s="34" t="str">
        <f>Kriteeristö!L92</f>
        <v>Suodatus- ja valvontajärjestelmien hallinnointi - dokumentointi</v>
      </c>
      <c r="G92" s="49">
        <v>0</v>
      </c>
      <c r="H92" s="49">
        <v>1</v>
      </c>
      <c r="I92" s="49">
        <v>1</v>
      </c>
      <c r="J92" s="49">
        <v>0</v>
      </c>
      <c r="K92" s="49">
        <v>0</v>
      </c>
      <c r="L92" s="49">
        <v>0</v>
      </c>
      <c r="M92" s="49">
        <v>0</v>
      </c>
      <c r="N92" s="49">
        <v>0</v>
      </c>
      <c r="O92" s="49">
        <v>0</v>
      </c>
      <c r="P92" s="49">
        <v>0</v>
      </c>
    </row>
    <row r="93" spans="1:16" ht="12.95">
      <c r="A93" s="13" t="str">
        <f>Kriteeristö!C93</f>
        <v>TEK-03.3</v>
      </c>
      <c r="B93" s="12" t="str">
        <f>Kriteeristö!E93</f>
        <v>Salassa pidettävä</v>
      </c>
      <c r="C93" s="12" t="str">
        <f>Kriteeristö!F93</f>
        <v>Tärkeä</v>
      </c>
      <c r="D93" s="12" t="str">
        <f>Kriteeristö!G93</f>
        <v>Tärkeä</v>
      </c>
      <c r="E93" s="12" t="str">
        <f>Kriteeristö!H93</f>
        <v>Erityinen henkilötietoryhmä</v>
      </c>
      <c r="F93" s="34" t="str">
        <f>Kriteeristö!L93</f>
        <v>Suodatus- ja valvontajärjestelmien hallinnointi - tarkastukset</v>
      </c>
      <c r="G93" s="49">
        <v>0</v>
      </c>
      <c r="H93" s="49">
        <v>1</v>
      </c>
      <c r="I93" s="49">
        <v>1</v>
      </c>
      <c r="J93" s="49">
        <v>0</v>
      </c>
      <c r="K93" s="49">
        <v>0</v>
      </c>
      <c r="L93" s="49">
        <v>0</v>
      </c>
      <c r="M93" s="49">
        <v>0</v>
      </c>
      <c r="N93" s="49">
        <v>0</v>
      </c>
      <c r="O93" s="49">
        <v>0</v>
      </c>
      <c r="P93" s="49">
        <v>0</v>
      </c>
    </row>
    <row r="94" spans="1:16" ht="12.95">
      <c r="A94" s="13" t="str">
        <f>Kriteeristö!C94</f>
        <v>TEK-04</v>
      </c>
      <c r="B94" s="12" t="str">
        <f>Kriteeristö!E94</f>
        <v>Julkinen</v>
      </c>
      <c r="C94" s="12" t="str">
        <f>Kriteeristö!F94</f>
        <v>Vähäinen</v>
      </c>
      <c r="D94" s="12" t="str">
        <f>Kriteeristö!G94</f>
        <v>Vähäinen</v>
      </c>
      <c r="E94" s="12" t="str">
        <f>Kriteeristö!H94</f>
        <v>Henkilötieto</v>
      </c>
      <c r="F94" s="34" t="str">
        <f>Kriteeristö!L94</f>
        <v>Hallintayhteydet</v>
      </c>
      <c r="G94" s="49">
        <v>1</v>
      </c>
      <c r="H94" s="49">
        <v>1</v>
      </c>
      <c r="I94" s="49">
        <v>1</v>
      </c>
      <c r="J94" s="49">
        <v>0</v>
      </c>
      <c r="K94" s="49">
        <v>0</v>
      </c>
      <c r="L94" s="49">
        <v>0</v>
      </c>
      <c r="M94" s="49">
        <v>0</v>
      </c>
      <c r="N94" s="49">
        <v>0</v>
      </c>
      <c r="O94" s="49">
        <v>0</v>
      </c>
      <c r="P94" s="49">
        <v>0</v>
      </c>
    </row>
    <row r="95" spans="1:16" ht="12.95">
      <c r="A95" s="13" t="str">
        <f>Kriteeristö!C95</f>
        <v>TEK-04.1</v>
      </c>
      <c r="B95" s="12" t="str">
        <f>Kriteeristö!E95</f>
        <v>Julkinen</v>
      </c>
      <c r="C95" s="12" t="str">
        <f>Kriteeristö!F95</f>
        <v>Vähäinen</v>
      </c>
      <c r="D95" s="12" t="str">
        <f>Kriteeristö!G95</f>
        <v>Vähäinen</v>
      </c>
      <c r="E95" s="12" t="str">
        <f>Kriteeristö!H95</f>
        <v>Henkilötieto</v>
      </c>
      <c r="F95" s="34" t="str">
        <f>Kriteeristö!L95</f>
        <v>Hallintayhteydet - vahva tunnistaminen julkisessa verkossa</v>
      </c>
      <c r="G95" s="49">
        <v>1</v>
      </c>
      <c r="H95" s="49">
        <v>1</v>
      </c>
      <c r="I95" s="49">
        <v>1</v>
      </c>
      <c r="J95" s="49">
        <v>0</v>
      </c>
      <c r="K95" s="49">
        <v>0</v>
      </c>
      <c r="L95" s="49">
        <v>0</v>
      </c>
      <c r="M95" s="49">
        <v>0</v>
      </c>
      <c r="N95" s="49">
        <v>0</v>
      </c>
      <c r="O95" s="49">
        <v>0</v>
      </c>
      <c r="P95" s="49">
        <v>0</v>
      </c>
    </row>
    <row r="96" spans="1:16" ht="12.95">
      <c r="A96" s="13" t="str">
        <f>Kriteeristö!C96</f>
        <v>TEK-04.2</v>
      </c>
      <c r="B96" s="12" t="str">
        <f>Kriteeristö!E96</f>
        <v>Julkinen</v>
      </c>
      <c r="C96" s="12" t="str">
        <f>Kriteeristö!F96</f>
        <v>Vähäinen</v>
      </c>
      <c r="D96" s="12" t="str">
        <f>Kriteeristö!G96</f>
        <v>Vähäinen</v>
      </c>
      <c r="E96" s="12" t="str">
        <f>Kriteeristö!H96</f>
        <v>Henkilötieto</v>
      </c>
      <c r="F96" s="34" t="str">
        <f>Kriteeristö!L96</f>
        <v>Hallintayhteydet - hallintayhteyksen salaaminen</v>
      </c>
      <c r="G96" s="49">
        <v>1</v>
      </c>
      <c r="H96" s="49">
        <v>1</v>
      </c>
      <c r="I96" s="49">
        <v>1</v>
      </c>
      <c r="J96" s="49">
        <v>0</v>
      </c>
      <c r="K96" s="49">
        <v>0</v>
      </c>
      <c r="L96" s="49">
        <v>0</v>
      </c>
      <c r="M96" s="49">
        <v>0</v>
      </c>
      <c r="N96" s="49">
        <v>0</v>
      </c>
      <c r="O96" s="49">
        <v>0</v>
      </c>
      <c r="P96" s="49">
        <v>0</v>
      </c>
    </row>
    <row r="97" spans="1:16" ht="12.95">
      <c r="A97" s="13" t="str">
        <f>Kriteeristö!C97</f>
        <v>TEK-04.3</v>
      </c>
      <c r="B97" s="12" t="str">
        <f>Kriteeristö!E97</f>
        <v>Julkinen</v>
      </c>
      <c r="C97" s="12" t="str">
        <f>Kriteeristö!F97</f>
        <v>Vähäinen</v>
      </c>
      <c r="D97" s="12" t="str">
        <f>Kriteeristö!G97</f>
        <v>Vähäinen</v>
      </c>
      <c r="E97" s="12" t="str">
        <f>Kriteeristö!H97</f>
        <v>Henkilötieto</v>
      </c>
      <c r="F97" s="34" t="str">
        <f>Kriteeristö!L97</f>
        <v>Hallintayhteydet - vähimmät oikeudet</v>
      </c>
      <c r="G97" s="49">
        <v>1</v>
      </c>
      <c r="H97" s="49">
        <v>1</v>
      </c>
      <c r="I97" s="49">
        <v>1</v>
      </c>
      <c r="J97" s="49">
        <v>0</v>
      </c>
      <c r="K97" s="49">
        <v>0</v>
      </c>
      <c r="L97" s="49">
        <v>0</v>
      </c>
      <c r="M97" s="49">
        <v>0</v>
      </c>
      <c r="N97" s="49">
        <v>0</v>
      </c>
      <c r="O97" s="49">
        <v>0</v>
      </c>
      <c r="P97" s="49">
        <v>0</v>
      </c>
    </row>
    <row r="98" spans="1:16" ht="12.95">
      <c r="A98" s="13" t="str">
        <f>Kriteeristö!C98</f>
        <v>TEK-04.4</v>
      </c>
      <c r="B98" s="12" t="str">
        <f>Kriteeristö!E98</f>
        <v>Julkinen</v>
      </c>
      <c r="C98" s="12" t="str">
        <f>Kriteeristö!F98</f>
        <v>Vähäinen</v>
      </c>
      <c r="D98" s="12" t="str">
        <f>Kriteeristö!G98</f>
        <v>Vähäinen</v>
      </c>
      <c r="E98" s="12" t="str">
        <f>Kriteeristö!H98</f>
        <v>Henkilötieto</v>
      </c>
      <c r="F98" s="34" t="str">
        <f>Kriteeristö!L98</f>
        <v>Hallintayhteydet - henkilökohtaiset tunnukset</v>
      </c>
      <c r="G98" s="49">
        <v>1</v>
      </c>
      <c r="H98" s="49">
        <v>1</v>
      </c>
      <c r="I98" s="49">
        <v>1</v>
      </c>
      <c r="J98" s="49">
        <v>0</v>
      </c>
      <c r="K98" s="49">
        <v>0</v>
      </c>
      <c r="L98" s="49">
        <v>0</v>
      </c>
      <c r="M98" s="49">
        <v>0</v>
      </c>
      <c r="N98" s="49">
        <v>0</v>
      </c>
      <c r="O98" s="49">
        <v>0</v>
      </c>
      <c r="P98" s="49">
        <v>0</v>
      </c>
    </row>
    <row r="99" spans="1:16" ht="12.95">
      <c r="A99" s="13" t="str">
        <f>Kriteeristö!C99</f>
        <v>TEK-04.5</v>
      </c>
      <c r="B99" s="12" t="str">
        <f>Kriteeristö!E99</f>
        <v>TL IV</v>
      </c>
      <c r="C99" s="12">
        <f>Kriteeristö!F99</f>
        <v>0</v>
      </c>
      <c r="D99" s="12">
        <f>Kriteeristö!G99</f>
        <v>0</v>
      </c>
      <c r="E99" s="12">
        <f>Kriteeristö!H99</f>
        <v>0</v>
      </c>
      <c r="F99" s="34" t="str">
        <f>Kriteeristö!L99</f>
        <v>Hallintayhteydet - yhteyksien rajaaminen turvallisuusluokittain</v>
      </c>
      <c r="G99" s="49">
        <v>0</v>
      </c>
      <c r="H99" s="49">
        <v>2</v>
      </c>
      <c r="I99" s="49">
        <v>1</v>
      </c>
      <c r="J99" s="49">
        <v>0</v>
      </c>
      <c r="K99" s="49">
        <v>0</v>
      </c>
      <c r="L99" s="49">
        <v>0</v>
      </c>
      <c r="M99" s="49">
        <v>0</v>
      </c>
      <c r="N99" s="49">
        <v>0</v>
      </c>
      <c r="O99" s="49">
        <v>0</v>
      </c>
      <c r="P99" s="49">
        <v>0</v>
      </c>
    </row>
    <row r="100" spans="1:16" ht="26.1">
      <c r="A100" s="13" t="str">
        <f>Kriteeristö!C100</f>
        <v>TEK-04.6</v>
      </c>
      <c r="B100" s="12" t="str">
        <f>Kriteeristö!E100</f>
        <v>TL IV</v>
      </c>
      <c r="C100" s="12">
        <f>Kriteeristö!F100</f>
        <v>0</v>
      </c>
      <c r="D100" s="12">
        <f>Kriteeristö!G100</f>
        <v>0</v>
      </c>
      <c r="E100" s="12">
        <f>Kriteeristö!H100</f>
        <v>0</v>
      </c>
      <c r="F100" s="34" t="str">
        <f>Kriteeristö!L100</f>
        <v>Hallintayhteydet - turvallisuusluokiteltua tietoa sisältävät hallintayhteydet</v>
      </c>
      <c r="G100" s="49">
        <v>0</v>
      </c>
      <c r="H100" s="49">
        <v>2</v>
      </c>
      <c r="I100" s="49">
        <v>1</v>
      </c>
      <c r="J100" s="49">
        <v>0</v>
      </c>
      <c r="K100" s="49">
        <v>0</v>
      </c>
      <c r="L100" s="49">
        <v>0</v>
      </c>
      <c r="M100" s="49">
        <v>0</v>
      </c>
      <c r="N100" s="49">
        <v>0</v>
      </c>
      <c r="O100" s="49">
        <v>0</v>
      </c>
      <c r="P100" s="49">
        <v>0</v>
      </c>
    </row>
    <row r="101" spans="1:16" ht="12.95">
      <c r="A101" s="13" t="str">
        <f>Kriteeristö!C101</f>
        <v>TEK-04.7</v>
      </c>
      <c r="B101" s="12" t="str">
        <f>Kriteeristö!E101</f>
        <v>TL IV</v>
      </c>
      <c r="C101" s="12">
        <f>Kriteeristö!F101</f>
        <v>0</v>
      </c>
      <c r="D101" s="12">
        <f>Kriteeristö!G101</f>
        <v>0</v>
      </c>
      <c r="E101" s="12">
        <f>Kriteeristö!H101</f>
        <v>0</v>
      </c>
      <c r="F101" s="34" t="str">
        <f>Kriteeristö!L101</f>
        <v>Hallintayhteydet - salaaminen turvallisuusluokan sisällä</v>
      </c>
      <c r="G101" s="49">
        <v>0</v>
      </c>
      <c r="H101" s="49">
        <v>2</v>
      </c>
      <c r="I101" s="49">
        <v>1</v>
      </c>
      <c r="J101" s="49">
        <v>0</v>
      </c>
      <c r="K101" s="49">
        <v>0</v>
      </c>
      <c r="L101" s="49">
        <v>0</v>
      </c>
      <c r="M101" s="49">
        <v>0</v>
      </c>
      <c r="N101" s="49">
        <v>0</v>
      </c>
      <c r="O101" s="49">
        <v>0</v>
      </c>
      <c r="P101" s="49">
        <v>0</v>
      </c>
    </row>
    <row r="102" spans="1:16" ht="12.95">
      <c r="A102" s="13" t="str">
        <f>Kriteeristö!C102</f>
        <v>TEK-04.8</v>
      </c>
      <c r="B102" s="12" t="str">
        <f>Kriteeristö!E102</f>
        <v>TL III</v>
      </c>
      <c r="C102" s="12">
        <f>Kriteeristö!F102</f>
        <v>0</v>
      </c>
      <c r="D102" s="12">
        <f>Kriteeristö!G102</f>
        <v>0</v>
      </c>
      <c r="E102" s="12">
        <f>Kriteeristö!H102</f>
        <v>0</v>
      </c>
      <c r="F102" s="34" t="str">
        <f>Kriteeristö!L102</f>
        <v>Hallintayhteydet - TL III</v>
      </c>
      <c r="G102" s="49">
        <v>0</v>
      </c>
      <c r="H102" s="49">
        <v>2</v>
      </c>
      <c r="I102" s="49">
        <v>1</v>
      </c>
      <c r="J102" s="49">
        <v>0</v>
      </c>
      <c r="K102" s="49">
        <v>0</v>
      </c>
      <c r="L102" s="49">
        <v>0</v>
      </c>
      <c r="M102" s="49">
        <v>0</v>
      </c>
      <c r="N102" s="49">
        <v>0</v>
      </c>
      <c r="O102" s="49">
        <v>0</v>
      </c>
      <c r="P102" s="49">
        <v>0</v>
      </c>
    </row>
    <row r="103" spans="1:16" ht="12.95">
      <c r="A103" s="13" t="str">
        <f>Kriteeristö!C103</f>
        <v>TEK-05</v>
      </c>
      <c r="B103" s="12" t="str">
        <f>Kriteeristö!E103</f>
        <v>Salassa pidettävä</v>
      </c>
      <c r="C103" s="12">
        <f>Kriteeristö!F103</f>
        <v>0</v>
      </c>
      <c r="D103" s="12">
        <f>Kriteeristö!G103</f>
        <v>0</v>
      </c>
      <c r="E103" s="12" t="str">
        <f>Kriteeristö!H103</f>
        <v>Henkilötieto</v>
      </c>
      <c r="F103" s="34" t="str">
        <f>Kriteeristö!L103</f>
        <v>Langaton tiedonsiirto</v>
      </c>
      <c r="G103" s="49">
        <v>0</v>
      </c>
      <c r="H103" s="49">
        <v>1</v>
      </c>
      <c r="I103" s="49">
        <v>1</v>
      </c>
      <c r="J103" s="49">
        <v>0</v>
      </c>
      <c r="K103" s="49">
        <v>0</v>
      </c>
      <c r="L103" s="49">
        <v>0</v>
      </c>
      <c r="M103" s="49">
        <v>0</v>
      </c>
      <c r="N103" s="49">
        <v>0</v>
      </c>
      <c r="O103" s="49">
        <v>0</v>
      </c>
      <c r="P103" s="49">
        <v>0</v>
      </c>
    </row>
    <row r="104" spans="1:16" ht="12.95">
      <c r="A104" s="13" t="str">
        <f>Kriteeristö!C104</f>
        <v>TEK-05.1</v>
      </c>
      <c r="B104" s="12" t="str">
        <f>Kriteeristö!E104</f>
        <v>TL IV</v>
      </c>
      <c r="C104" s="12">
        <f>Kriteeristö!F104</f>
        <v>0</v>
      </c>
      <c r="D104" s="12">
        <f>Kriteeristö!G104</f>
        <v>0</v>
      </c>
      <c r="E104" s="12">
        <f>Kriteeristö!H104</f>
        <v>0</v>
      </c>
      <c r="F104" s="34" t="str">
        <f>Kriteeristö!L104</f>
        <v>Langaton tiedonsiirto - salaaminen</v>
      </c>
      <c r="G104" s="49">
        <v>0</v>
      </c>
      <c r="H104" s="49">
        <v>2</v>
      </c>
      <c r="I104" s="49">
        <v>1</v>
      </c>
      <c r="J104" s="49">
        <v>0</v>
      </c>
      <c r="K104" s="49">
        <v>0</v>
      </c>
      <c r="L104" s="49">
        <v>0</v>
      </c>
      <c r="M104" s="49">
        <v>0</v>
      </c>
      <c r="N104" s="49">
        <v>0</v>
      </c>
      <c r="O104" s="49">
        <v>0</v>
      </c>
      <c r="P104" s="49">
        <v>0</v>
      </c>
    </row>
    <row r="105" spans="1:16" ht="12.95">
      <c r="A105" s="13" t="str">
        <f>Kriteeristö!C105</f>
        <v>TEK-06</v>
      </c>
      <c r="B105" s="12" t="str">
        <f>Kriteeristö!E105</f>
        <v>Salassa pidettävä</v>
      </c>
      <c r="C105" s="12">
        <f>Kriteeristö!F105</f>
        <v>0</v>
      </c>
      <c r="D105" s="12">
        <f>Kriteeristö!G105</f>
        <v>0</v>
      </c>
      <c r="E105" s="12" t="str">
        <f>Kriteeristö!H105</f>
        <v>Henkilötieto</v>
      </c>
      <c r="F105" s="34" t="str">
        <f>Kriteeristö!L105</f>
        <v>Kasautumisvaikutus</v>
      </c>
      <c r="G105" s="49">
        <v>1</v>
      </c>
      <c r="H105" s="49">
        <v>0</v>
      </c>
      <c r="I105" s="49">
        <v>1</v>
      </c>
      <c r="J105" s="49">
        <v>0</v>
      </c>
      <c r="K105" s="49">
        <v>0</v>
      </c>
      <c r="L105" s="49">
        <v>0</v>
      </c>
      <c r="M105" s="49">
        <v>0</v>
      </c>
      <c r="N105" s="49">
        <v>0</v>
      </c>
      <c r="O105" s="49">
        <v>0</v>
      </c>
      <c r="P105" s="49">
        <v>0</v>
      </c>
    </row>
    <row r="106" spans="1:16" ht="12.95">
      <c r="A106" s="13" t="str">
        <f>Kriteeristö!C106</f>
        <v>TEK-07</v>
      </c>
      <c r="B106" s="12" t="str">
        <f>Kriteeristö!E106</f>
        <v>Julkinen</v>
      </c>
      <c r="C106" s="12" t="str">
        <f>Kriteeristö!F106</f>
        <v>Vähäinen</v>
      </c>
      <c r="D106" s="12" t="str">
        <f>Kriteeristö!G106</f>
        <v>Vähäinen</v>
      </c>
      <c r="E106" s="12" t="str">
        <f>Kriteeristö!H106</f>
        <v>Henkilötieto</v>
      </c>
      <c r="F106" s="34" t="str">
        <f>Kriteeristö!L106</f>
        <v>Pääsyoikeuksien hallinnointi</v>
      </c>
      <c r="G106" s="49">
        <v>1</v>
      </c>
      <c r="H106" s="49">
        <v>1</v>
      </c>
      <c r="I106" s="49">
        <v>1</v>
      </c>
      <c r="J106" s="49">
        <v>0</v>
      </c>
      <c r="K106" s="49">
        <v>0</v>
      </c>
      <c r="L106" s="49">
        <v>0</v>
      </c>
      <c r="M106" s="49">
        <v>0</v>
      </c>
      <c r="N106" s="49">
        <v>0</v>
      </c>
      <c r="O106" s="49">
        <v>0</v>
      </c>
      <c r="P106" s="49">
        <v>0</v>
      </c>
    </row>
    <row r="107" spans="1:16" ht="12.95">
      <c r="A107" s="13" t="str">
        <f>Kriteeristö!C107</f>
        <v>TEK-07.1</v>
      </c>
      <c r="B107" s="12" t="str">
        <f>Kriteeristö!E107</f>
        <v>Julkinen</v>
      </c>
      <c r="C107" s="12" t="str">
        <f>Kriteeristö!F107</f>
        <v>Vähäinen</v>
      </c>
      <c r="D107" s="12" t="str">
        <f>Kriteeristö!G107</f>
        <v>Vähäinen</v>
      </c>
      <c r="E107" s="12" t="str">
        <f>Kriteeristö!H107</f>
        <v>Henkilötieto</v>
      </c>
      <c r="F107" s="34" t="str">
        <f>Kriteeristö!L107</f>
        <v>Pääsyoikeuksien hallinnointi - pääsyoikeuksien myöntäminen</v>
      </c>
      <c r="G107" s="49">
        <v>1</v>
      </c>
      <c r="H107" s="49">
        <v>1</v>
      </c>
      <c r="I107" s="49">
        <v>1</v>
      </c>
      <c r="J107" s="49">
        <v>0</v>
      </c>
      <c r="K107" s="49">
        <v>0</v>
      </c>
      <c r="L107" s="49">
        <v>0</v>
      </c>
      <c r="M107" s="49">
        <v>0</v>
      </c>
      <c r="N107" s="49">
        <v>0</v>
      </c>
      <c r="O107" s="49">
        <v>0</v>
      </c>
      <c r="P107" s="49">
        <v>0</v>
      </c>
    </row>
    <row r="108" spans="1:16" ht="12.95">
      <c r="A108" s="13" t="str">
        <f>Kriteeristö!C108</f>
        <v>TEK-07.2</v>
      </c>
      <c r="B108" s="12" t="str">
        <f>Kriteeristö!E108</f>
        <v>Julkinen</v>
      </c>
      <c r="C108" s="12" t="str">
        <f>Kriteeristö!F108</f>
        <v>Vähäinen</v>
      </c>
      <c r="D108" s="12" t="str">
        <f>Kriteeristö!G108</f>
        <v>Vähäinen</v>
      </c>
      <c r="E108" s="12" t="str">
        <f>Kriteeristö!H108</f>
        <v>Henkilötieto</v>
      </c>
      <c r="F108" s="34" t="str">
        <f>Kriteeristö!L108</f>
        <v>Pääsyoikeuksien hallinnointi - pääsyoikeuksien rajaaminen</v>
      </c>
      <c r="G108" s="49">
        <v>1</v>
      </c>
      <c r="H108" s="49">
        <v>1</v>
      </c>
      <c r="I108" s="49">
        <v>1</v>
      </c>
      <c r="J108" s="49">
        <v>0</v>
      </c>
      <c r="K108" s="49">
        <v>0</v>
      </c>
      <c r="L108" s="49">
        <v>0</v>
      </c>
      <c r="M108" s="49">
        <v>0</v>
      </c>
      <c r="N108" s="49">
        <v>0</v>
      </c>
      <c r="O108" s="49">
        <v>0</v>
      </c>
      <c r="P108" s="49">
        <v>0</v>
      </c>
    </row>
    <row r="109" spans="1:16" ht="12.95">
      <c r="A109" s="13" t="str">
        <f>Kriteeristö!C109</f>
        <v>TEK-07.3</v>
      </c>
      <c r="B109" s="12" t="str">
        <f>Kriteeristö!E109</f>
        <v>Julkinen</v>
      </c>
      <c r="C109" s="12" t="str">
        <f>Kriteeristö!F109</f>
        <v>Vähäinen</v>
      </c>
      <c r="D109" s="12" t="str">
        <f>Kriteeristö!G109</f>
        <v>Vähäinen</v>
      </c>
      <c r="E109" s="12" t="str">
        <f>Kriteeristö!H109</f>
        <v>Henkilötieto</v>
      </c>
      <c r="F109" s="34" t="str">
        <f>Kriteeristö!L109</f>
        <v>Pääsyoikeuksien hallinnointi - pääsyoikeuksien ajantasaisuus</v>
      </c>
      <c r="G109" s="49">
        <v>1</v>
      </c>
      <c r="H109" s="49">
        <v>1</v>
      </c>
      <c r="I109" s="49">
        <v>1</v>
      </c>
      <c r="J109" s="49">
        <v>0</v>
      </c>
      <c r="K109" s="49">
        <v>0</v>
      </c>
      <c r="L109" s="49">
        <v>0</v>
      </c>
      <c r="M109" s="49">
        <v>0</v>
      </c>
      <c r="N109" s="49">
        <v>0</v>
      </c>
      <c r="O109" s="49">
        <v>0</v>
      </c>
      <c r="P109" s="49">
        <v>0</v>
      </c>
    </row>
    <row r="110" spans="1:16" ht="26.1">
      <c r="A110" s="13" t="str">
        <f>Kriteeristö!C110</f>
        <v>TEK-07.4</v>
      </c>
      <c r="B110" s="12" t="str">
        <f>Kriteeristö!E110</f>
        <v>TL IV</v>
      </c>
      <c r="C110" s="12">
        <f>Kriteeristö!F110</f>
        <v>0</v>
      </c>
      <c r="D110" s="12">
        <f>Kriteeristö!G110</f>
        <v>0</v>
      </c>
      <c r="E110" s="12">
        <f>Kriteeristö!H110</f>
        <v>0</v>
      </c>
      <c r="F110" s="34" t="str">
        <f>Kriteeristö!L110</f>
        <v>Pääsyoikeuksien hallinnointi - turvallisuusluokiteltujen tietojen erottelu</v>
      </c>
      <c r="G110" s="49">
        <v>0</v>
      </c>
      <c r="H110" s="49">
        <v>2</v>
      </c>
      <c r="I110" s="49">
        <v>1</v>
      </c>
      <c r="J110" s="49">
        <v>0</v>
      </c>
      <c r="K110" s="49">
        <v>0</v>
      </c>
      <c r="L110" s="49">
        <v>0</v>
      </c>
      <c r="M110" s="49">
        <v>0</v>
      </c>
      <c r="N110" s="49">
        <v>0</v>
      </c>
      <c r="O110" s="49">
        <v>0</v>
      </c>
      <c r="P110" s="49">
        <v>0</v>
      </c>
    </row>
    <row r="111" spans="1:16" ht="12.95">
      <c r="A111" s="13" t="str">
        <f>Kriteeristö!C111</f>
        <v>TEK-07.5</v>
      </c>
      <c r="B111" s="12" t="str">
        <f>Kriteeristö!E111</f>
        <v>TL III</v>
      </c>
      <c r="C111" s="12">
        <f>Kriteeristö!F111</f>
        <v>0</v>
      </c>
      <c r="D111" s="12">
        <f>Kriteeristö!G111</f>
        <v>0</v>
      </c>
      <c r="E111" s="12">
        <f>Kriteeristö!H111</f>
        <v>0</v>
      </c>
      <c r="F111" s="34" t="str">
        <f>Kriteeristö!L111</f>
        <v>Pääsyoikeuksien hallinnointi - TL III</v>
      </c>
      <c r="G111" s="49">
        <v>0</v>
      </c>
      <c r="H111" s="49">
        <v>2</v>
      </c>
      <c r="I111" s="49">
        <v>1</v>
      </c>
      <c r="J111" s="49">
        <v>0</v>
      </c>
      <c r="K111" s="49">
        <v>0</v>
      </c>
      <c r="L111" s="49">
        <v>0</v>
      </c>
      <c r="M111" s="49">
        <v>0</v>
      </c>
      <c r="N111" s="49">
        <v>0</v>
      </c>
      <c r="O111" s="49">
        <v>0</v>
      </c>
      <c r="P111" s="49">
        <v>0</v>
      </c>
    </row>
    <row r="112" spans="1:16" ht="12.95">
      <c r="A112" s="13" t="str">
        <f>Kriteeristö!C112</f>
        <v>TEK-08</v>
      </c>
      <c r="B112" s="12" t="str">
        <f>Kriteeristö!E112</f>
        <v>Salassa pidettävä</v>
      </c>
      <c r="C112" s="12" t="str">
        <f>Kriteeristö!F112</f>
        <v>Normaali</v>
      </c>
      <c r="D112" s="12">
        <f>Kriteeristö!G112</f>
        <v>0</v>
      </c>
      <c r="E112" s="12" t="str">
        <f>Kriteeristö!H112</f>
        <v>Henkilötieto</v>
      </c>
      <c r="F112" s="34" t="str">
        <f>Kriteeristö!L112</f>
        <v>Tietojenkäsittely-ympäristön toimijoiden tunnistaminen</v>
      </c>
      <c r="G112" s="49">
        <v>1</v>
      </c>
      <c r="H112" s="49">
        <v>1</v>
      </c>
      <c r="I112" s="49">
        <v>1</v>
      </c>
      <c r="J112" s="49">
        <v>0</v>
      </c>
      <c r="K112" s="49">
        <v>0</v>
      </c>
      <c r="L112" s="49">
        <v>0</v>
      </c>
      <c r="M112" s="49">
        <v>0</v>
      </c>
      <c r="N112" s="49">
        <v>0</v>
      </c>
      <c r="O112" s="49">
        <v>0</v>
      </c>
      <c r="P112" s="49">
        <v>0</v>
      </c>
    </row>
    <row r="113" spans="1:16" ht="12.95">
      <c r="A113" s="13" t="str">
        <f>Kriteeristö!C113</f>
        <v>TEK-08.1</v>
      </c>
      <c r="B113" s="12" t="str">
        <f>Kriteeristö!E113</f>
        <v>Salassa pidettävä</v>
      </c>
      <c r="C113" s="12" t="str">
        <f>Kriteeristö!F113</f>
        <v>Normaali</v>
      </c>
      <c r="D113" s="12">
        <f>Kriteeristö!G113</f>
        <v>0</v>
      </c>
      <c r="E113" s="12" t="str">
        <f>Kriteeristö!H113</f>
        <v>Henkilötieto</v>
      </c>
      <c r="F113" s="34" t="str">
        <f>Kriteeristö!L113</f>
        <v>Tietojenkäsittely-ympäristön toimijoiden tunnistaminen</v>
      </c>
      <c r="G113" s="49">
        <v>1</v>
      </c>
      <c r="H113" s="49">
        <v>1</v>
      </c>
      <c r="I113" s="49">
        <v>1</v>
      </c>
      <c r="J113" s="49">
        <v>0</v>
      </c>
      <c r="K113" s="49">
        <v>0</v>
      </c>
      <c r="L113" s="49">
        <v>0</v>
      </c>
      <c r="M113" s="49">
        <v>0</v>
      </c>
      <c r="N113" s="49">
        <v>0</v>
      </c>
      <c r="O113" s="49">
        <v>0</v>
      </c>
      <c r="P113" s="49">
        <v>0</v>
      </c>
    </row>
    <row r="114" spans="1:16" ht="12.95">
      <c r="A114" s="13" t="str">
        <f>Kriteeristö!C114</f>
        <v>TEK-08.2</v>
      </c>
      <c r="B114" s="12" t="str">
        <f>Kriteeristö!E114</f>
        <v>Salassa pidettävä</v>
      </c>
      <c r="C114" s="12" t="str">
        <f>Kriteeristö!F114</f>
        <v>Normaali</v>
      </c>
      <c r="D114" s="12">
        <f>Kriteeristö!G114</f>
        <v>0</v>
      </c>
      <c r="E114" s="12" t="str">
        <f>Kriteeristö!H114</f>
        <v>Henkilötieto</v>
      </c>
      <c r="F114" s="34" t="str">
        <f>Kriteeristö!L114</f>
        <v>Tietojenkäsittely-ympäristön toimijoiden tunnistaminen</v>
      </c>
      <c r="G114" s="49">
        <v>1</v>
      </c>
      <c r="H114" s="49">
        <v>1</v>
      </c>
      <c r="I114" s="49">
        <v>1</v>
      </c>
      <c r="J114" s="49">
        <v>0</v>
      </c>
      <c r="K114" s="49">
        <v>0</v>
      </c>
      <c r="L114" s="49">
        <v>0</v>
      </c>
      <c r="M114" s="49">
        <v>0</v>
      </c>
      <c r="N114" s="49">
        <v>0</v>
      </c>
      <c r="O114" s="49">
        <v>0</v>
      </c>
      <c r="P114" s="49">
        <v>0</v>
      </c>
    </row>
    <row r="115" spans="1:16" ht="12.95">
      <c r="A115" s="13" t="str">
        <f>Kriteeristö!C115</f>
        <v>TEK-08.3</v>
      </c>
      <c r="B115" s="12" t="str">
        <f>Kriteeristö!E115</f>
        <v>Salassa pidettävä</v>
      </c>
      <c r="C115" s="12" t="str">
        <f>Kriteeristö!F115</f>
        <v>Normaali</v>
      </c>
      <c r="D115" s="12">
        <f>Kriteeristö!G115</f>
        <v>0</v>
      </c>
      <c r="E115" s="12" t="str">
        <f>Kriteeristö!H115</f>
        <v>Henkilötieto</v>
      </c>
      <c r="F115" s="34" t="str">
        <f>Kriteeristö!L115</f>
        <v>Tietojenkäsittely-ympäristön toimijoiden tunnistaminen</v>
      </c>
      <c r="G115" s="49">
        <v>1</v>
      </c>
      <c r="H115" s="49">
        <v>1</v>
      </c>
      <c r="I115" s="49">
        <v>1</v>
      </c>
      <c r="J115" s="49">
        <v>0</v>
      </c>
      <c r="K115" s="49">
        <v>0</v>
      </c>
      <c r="L115" s="49">
        <v>0</v>
      </c>
      <c r="M115" s="49">
        <v>0</v>
      </c>
      <c r="N115" s="49">
        <v>0</v>
      </c>
      <c r="O115" s="49">
        <v>0</v>
      </c>
      <c r="P115" s="49">
        <v>0</v>
      </c>
    </row>
    <row r="116" spans="1:16" ht="12.95">
      <c r="A116" s="13" t="str">
        <f>Kriteeristö!C116</f>
        <v>TEK-08.4</v>
      </c>
      <c r="B116" s="12" t="str">
        <f>Kriteeristö!E116</f>
        <v>TL IV</v>
      </c>
      <c r="C116" s="12" t="str">
        <f>Kriteeristö!F116</f>
        <v>Kriittinen</v>
      </c>
      <c r="D116" s="12">
        <f>Kriteeristö!G116</f>
        <v>0</v>
      </c>
      <c r="E116" s="12">
        <f>Kriteeristö!H116</f>
        <v>0</v>
      </c>
      <c r="F116" s="34" t="str">
        <f>Kriteeristö!L116</f>
        <v>Tietojenkäsittely-ympäristön toimijoiden tunnistaminen - TL IV</v>
      </c>
      <c r="G116" s="49">
        <v>0</v>
      </c>
      <c r="H116" s="49">
        <v>2</v>
      </c>
      <c r="I116" s="49">
        <v>1</v>
      </c>
      <c r="J116" s="49">
        <v>0</v>
      </c>
      <c r="K116" s="49">
        <v>0</v>
      </c>
      <c r="L116" s="49">
        <v>0</v>
      </c>
      <c r="M116" s="49">
        <v>0</v>
      </c>
      <c r="N116" s="49">
        <v>0</v>
      </c>
      <c r="O116" s="49">
        <v>0</v>
      </c>
      <c r="P116" s="49">
        <v>0</v>
      </c>
    </row>
    <row r="117" spans="1:16" ht="12.95">
      <c r="A117" s="13" t="str">
        <f>Kriteeristö!C117</f>
        <v>TEK-08.5</v>
      </c>
      <c r="B117" s="12" t="str">
        <f>Kriteeristö!E117</f>
        <v>TL III</v>
      </c>
      <c r="C117" s="12" t="str">
        <f>Kriteeristö!F117</f>
        <v>Kriittinen</v>
      </c>
      <c r="D117" s="12">
        <f>Kriteeristö!G117</f>
        <v>0</v>
      </c>
      <c r="E117" s="12">
        <f>Kriteeristö!H117</f>
        <v>0</v>
      </c>
      <c r="F117" s="34" t="str">
        <f>Kriteeristö!L117</f>
        <v>Tietojenkäsittely-ympäristön toimijoiden tunnistaminen - TL III</v>
      </c>
      <c r="G117" s="49">
        <v>0</v>
      </c>
      <c r="H117" s="49">
        <v>2</v>
      </c>
      <c r="I117" s="49">
        <v>1</v>
      </c>
      <c r="J117" s="49">
        <v>0</v>
      </c>
      <c r="K117" s="49">
        <v>0</v>
      </c>
      <c r="L117" s="49">
        <v>0</v>
      </c>
      <c r="M117" s="49">
        <v>0</v>
      </c>
      <c r="N117" s="49">
        <v>0</v>
      </c>
      <c r="O117" s="49">
        <v>0</v>
      </c>
      <c r="P117" s="49">
        <v>0</v>
      </c>
    </row>
    <row r="118" spans="1:16" ht="12.95">
      <c r="A118" s="13" t="str">
        <f>Kriteeristö!C118</f>
        <v>TEK-09</v>
      </c>
      <c r="B118" s="12" t="str">
        <f>Kriteeristö!E118</f>
        <v>Salassa pidettävä</v>
      </c>
      <c r="C118" s="12" t="str">
        <f>Kriteeristö!F118</f>
        <v>Kriittinen</v>
      </c>
      <c r="D118" s="12">
        <f>Kriteeristö!G118</f>
        <v>0</v>
      </c>
      <c r="E118" s="12" t="str">
        <f>Kriteeristö!H118</f>
        <v>Erityinen henkilötietoryhmä</v>
      </c>
      <c r="F118" s="34" t="str">
        <f>Kriteeristö!L118</f>
        <v>Tietojärjestelmien fyysinen turvallisuus</v>
      </c>
      <c r="G118" s="49">
        <v>1</v>
      </c>
      <c r="H118" s="49">
        <v>1</v>
      </c>
      <c r="I118" s="49">
        <v>1</v>
      </c>
      <c r="J118" s="49">
        <v>0</v>
      </c>
      <c r="K118" s="49">
        <v>0</v>
      </c>
      <c r="L118" s="49">
        <v>0</v>
      </c>
      <c r="M118" s="49">
        <v>0</v>
      </c>
      <c r="N118" s="49">
        <v>0</v>
      </c>
      <c r="O118" s="49">
        <v>0</v>
      </c>
      <c r="P118" s="49">
        <v>0</v>
      </c>
    </row>
    <row r="119" spans="1:16" ht="12.95">
      <c r="A119" s="13" t="str">
        <f>Kriteeristö!C119</f>
        <v>TEK-10</v>
      </c>
      <c r="B119" s="12" t="str">
        <f>Kriteeristö!E119</f>
        <v>Salassa pidettävä</v>
      </c>
      <c r="C119" s="12" t="str">
        <f>Kriteeristö!F119</f>
        <v>Tärkeä</v>
      </c>
      <c r="D119" s="12">
        <f>Kriteeristö!G119</f>
        <v>0</v>
      </c>
      <c r="E119" s="12" t="str">
        <f>Kriteeristö!H119</f>
        <v>Erityinen henkilötietoryhmä</v>
      </c>
      <c r="F119" s="34" t="str">
        <f>Kriteeristö!L119</f>
        <v>Järjestelmäkovennus</v>
      </c>
      <c r="G119" s="49">
        <v>1</v>
      </c>
      <c r="H119" s="49">
        <v>1</v>
      </c>
      <c r="I119" s="49">
        <v>1</v>
      </c>
      <c r="J119" s="49">
        <v>0</v>
      </c>
      <c r="K119" s="49">
        <v>0</v>
      </c>
      <c r="L119" s="49">
        <v>0</v>
      </c>
      <c r="M119" s="49">
        <v>0</v>
      </c>
      <c r="N119" s="49">
        <v>0</v>
      </c>
      <c r="O119" s="49">
        <v>0</v>
      </c>
      <c r="P119" s="49">
        <v>0</v>
      </c>
    </row>
    <row r="120" spans="1:16" ht="12.95">
      <c r="A120" s="13" t="str">
        <f>Kriteeristö!C120</f>
        <v>TEK-10.1</v>
      </c>
      <c r="B120" s="12" t="str">
        <f>Kriteeristö!E120</f>
        <v>Salassa pidettävä</v>
      </c>
      <c r="C120" s="12" t="str">
        <f>Kriteeristö!F120</f>
        <v>Tärkeä</v>
      </c>
      <c r="D120" s="12">
        <f>Kriteeristö!G120</f>
        <v>0</v>
      </c>
      <c r="E120" s="12" t="str">
        <f>Kriteeristö!H120</f>
        <v>Erityinen henkilötietoryhmä</v>
      </c>
      <c r="F120" s="34" t="str">
        <f>Kriteeristö!L120</f>
        <v>Järjestelmäkovennus - käytössä olevien palveluiden minimointi</v>
      </c>
      <c r="G120" s="49">
        <v>1</v>
      </c>
      <c r="H120" s="49">
        <v>1</v>
      </c>
      <c r="I120" s="49">
        <v>1</v>
      </c>
      <c r="J120" s="49">
        <v>0</v>
      </c>
      <c r="K120" s="49">
        <v>0</v>
      </c>
      <c r="L120" s="49">
        <v>0</v>
      </c>
      <c r="M120" s="49">
        <v>0</v>
      </c>
      <c r="N120" s="49">
        <v>0</v>
      </c>
      <c r="O120" s="49">
        <v>0</v>
      </c>
      <c r="P120" s="49">
        <v>0</v>
      </c>
    </row>
    <row r="121" spans="1:16" ht="26.1">
      <c r="A121" s="13" t="str">
        <f>Kriteeristö!C121</f>
        <v>TEK-10.2</v>
      </c>
      <c r="B121" s="12" t="str">
        <f>Kriteeristö!E121</f>
        <v>Salassa pidettävä</v>
      </c>
      <c r="C121" s="12" t="str">
        <f>Kriteeristö!F121</f>
        <v>Tärkeä</v>
      </c>
      <c r="D121" s="12">
        <f>Kriteeristö!G121</f>
        <v>0</v>
      </c>
      <c r="E121" s="12" t="str">
        <f>Kriteeristö!H121</f>
        <v>Erityinen henkilötietoryhmä</v>
      </c>
      <c r="F121" s="34" t="str">
        <f>Kriteeristö!L121</f>
        <v>Järjestelmäkovennus - kovennusten varmistaminen koko elinkaaren ajan</v>
      </c>
      <c r="G121" s="49">
        <v>0</v>
      </c>
      <c r="H121" s="49">
        <v>1</v>
      </c>
      <c r="I121" s="49">
        <v>1</v>
      </c>
      <c r="J121" s="49">
        <v>0</v>
      </c>
      <c r="K121" s="49">
        <v>0</v>
      </c>
      <c r="L121" s="49">
        <v>0</v>
      </c>
      <c r="M121" s="49">
        <v>0</v>
      </c>
      <c r="N121" s="49">
        <v>0</v>
      </c>
      <c r="O121" s="49">
        <v>0</v>
      </c>
      <c r="P121" s="49">
        <v>0</v>
      </c>
    </row>
    <row r="122" spans="1:16" ht="12.95">
      <c r="A122" s="13" t="str">
        <f>Kriteeristö!C122</f>
        <v>TEK-10.3</v>
      </c>
      <c r="B122" s="12" t="str">
        <f>Kriteeristö!E122</f>
        <v>TL III</v>
      </c>
      <c r="C122" s="12" t="str">
        <f>Kriteeristö!F122</f>
        <v>Kriittinen</v>
      </c>
      <c r="D122" s="12">
        <f>Kriteeristö!G122</f>
        <v>0</v>
      </c>
      <c r="E122" s="12">
        <f>Kriteeristö!H122</f>
        <v>0</v>
      </c>
      <c r="F122" s="34" t="str">
        <f>Kriteeristö!L122</f>
        <v>Järjestelmäkovennus - turvallisuusluokitellut ympäristöt</v>
      </c>
      <c r="G122" s="49">
        <v>0</v>
      </c>
      <c r="H122" s="49">
        <v>1</v>
      </c>
      <c r="I122" s="49">
        <v>1</v>
      </c>
      <c r="J122" s="49">
        <v>0</v>
      </c>
      <c r="K122" s="49">
        <v>0</v>
      </c>
      <c r="L122" s="49">
        <v>0</v>
      </c>
      <c r="M122" s="49">
        <v>0</v>
      </c>
      <c r="N122" s="49">
        <v>0</v>
      </c>
      <c r="O122" s="49">
        <v>0</v>
      </c>
      <c r="P122" s="49">
        <v>0</v>
      </c>
    </row>
    <row r="123" spans="1:16" ht="12.95">
      <c r="A123" s="13" t="str">
        <f>Kriteeristö!C123</f>
        <v>TEK-11</v>
      </c>
      <c r="B123" s="12" t="str">
        <f>Kriteeristö!E123</f>
        <v>Salassa pidettävä</v>
      </c>
      <c r="C123" s="12" t="str">
        <f>Kriteeristö!F123</f>
        <v>Normaali</v>
      </c>
      <c r="D123" s="12" t="str">
        <f>Kriteeristö!G123</f>
        <v>Normaali</v>
      </c>
      <c r="E123" s="12" t="str">
        <f>Kriteeristö!H123</f>
        <v>Erityinen henkilötietoryhmä</v>
      </c>
      <c r="F123" s="34" t="str">
        <f>Kriteeristö!L123</f>
        <v>Haittaohjelmilta suojautuminen</v>
      </c>
      <c r="G123" s="49">
        <v>1</v>
      </c>
      <c r="H123" s="49">
        <v>1</v>
      </c>
      <c r="I123" s="49">
        <v>1</v>
      </c>
      <c r="J123" s="49">
        <v>0</v>
      </c>
      <c r="K123" s="49">
        <v>0</v>
      </c>
      <c r="L123" s="49">
        <v>0</v>
      </c>
      <c r="M123" s="49">
        <v>0</v>
      </c>
      <c r="N123" s="49">
        <v>0</v>
      </c>
      <c r="O123" s="49">
        <v>0</v>
      </c>
      <c r="P123" s="49">
        <v>0</v>
      </c>
    </row>
    <row r="124" spans="1:16" ht="12.95">
      <c r="A124" s="13" t="str">
        <f>Kriteeristö!C124</f>
        <v>TEK-11.1</v>
      </c>
      <c r="B124" s="12" t="str">
        <f>Kriteeristö!E124</f>
        <v>TL IV</v>
      </c>
      <c r="C124" s="12">
        <f>Kriteeristö!F124</f>
        <v>0</v>
      </c>
      <c r="D124" s="12">
        <f>Kriteeristö!G124</f>
        <v>0</v>
      </c>
      <c r="E124" s="12">
        <f>Kriteeristö!H124</f>
        <v>0</v>
      </c>
      <c r="F124" s="34" t="str">
        <f>Kriteeristö!L124</f>
        <v>Haittaohjelmilta suojautuminen - TL IV</v>
      </c>
      <c r="G124" s="49">
        <v>0</v>
      </c>
      <c r="H124" s="49">
        <v>2</v>
      </c>
      <c r="I124" s="49">
        <v>1</v>
      </c>
      <c r="J124" s="49">
        <v>0</v>
      </c>
      <c r="K124" s="49">
        <v>0</v>
      </c>
      <c r="L124" s="49">
        <v>0</v>
      </c>
      <c r="M124" s="49">
        <v>0</v>
      </c>
      <c r="N124" s="49">
        <v>0</v>
      </c>
      <c r="O124" s="49">
        <v>0</v>
      </c>
      <c r="P124" s="49">
        <v>0</v>
      </c>
    </row>
    <row r="125" spans="1:16" ht="12.95">
      <c r="A125" s="13" t="str">
        <f>Kriteeristö!C125</f>
        <v>TEK-11.2</v>
      </c>
      <c r="B125" s="12" t="str">
        <f>Kriteeristö!E125</f>
        <v>TL III</v>
      </c>
      <c r="C125" s="12">
        <f>Kriteeristö!F125</f>
        <v>0</v>
      </c>
      <c r="D125" s="12">
        <f>Kriteeristö!G125</f>
        <v>0</v>
      </c>
      <c r="E125" s="12">
        <f>Kriteeristö!H125</f>
        <v>0</v>
      </c>
      <c r="F125" s="34" t="str">
        <f>Kriteeristö!L125</f>
        <v>Haittaohjelmilta suojautuminen - TL III</v>
      </c>
      <c r="G125" s="49">
        <v>0</v>
      </c>
      <c r="H125" s="49">
        <v>2</v>
      </c>
      <c r="I125" s="49">
        <v>1</v>
      </c>
      <c r="J125" s="49">
        <v>0</v>
      </c>
      <c r="K125" s="49">
        <v>0</v>
      </c>
      <c r="L125" s="49">
        <v>0</v>
      </c>
      <c r="M125" s="49">
        <v>0</v>
      </c>
      <c r="N125" s="49">
        <v>0</v>
      </c>
      <c r="O125" s="49">
        <v>0</v>
      </c>
      <c r="P125" s="49">
        <v>0</v>
      </c>
    </row>
    <row r="126" spans="1:16" ht="12.95">
      <c r="A126" s="13" t="str">
        <f>Kriteeristö!C126</f>
        <v>TEK-11.3</v>
      </c>
      <c r="B126" s="12" t="str">
        <f>Kriteeristö!E126</f>
        <v>TL II</v>
      </c>
      <c r="C126" s="12">
        <f>Kriteeristö!F126</f>
        <v>0</v>
      </c>
      <c r="D126" s="12">
        <f>Kriteeristö!G126</f>
        <v>0</v>
      </c>
      <c r="E126" s="12">
        <f>Kriteeristö!H126</f>
        <v>0</v>
      </c>
      <c r="F126" s="34" t="str">
        <f>Kriteeristö!L126</f>
        <v>Haittaohjelmilta suojautuminen - TL II</v>
      </c>
      <c r="G126" s="49">
        <v>0</v>
      </c>
      <c r="H126" s="49">
        <v>2</v>
      </c>
      <c r="I126" s="49">
        <v>1</v>
      </c>
      <c r="J126" s="49">
        <v>0</v>
      </c>
      <c r="K126" s="49">
        <v>0</v>
      </c>
      <c r="L126" s="49">
        <v>0</v>
      </c>
      <c r="M126" s="49">
        <v>0</v>
      </c>
      <c r="N126" s="49">
        <v>0</v>
      </c>
      <c r="O126" s="49">
        <v>0</v>
      </c>
      <c r="P126" s="49">
        <v>0</v>
      </c>
    </row>
    <row r="127" spans="1:16" ht="12.95">
      <c r="A127" s="13" t="str">
        <f>Kriteeristö!C127</f>
        <v>TEK-12</v>
      </c>
      <c r="B127" s="12" t="str">
        <f>Kriteeristö!E127</f>
        <v>Julkinen</v>
      </c>
      <c r="C127" s="12" t="str">
        <f>Kriteeristö!F127</f>
        <v>Vähäinen</v>
      </c>
      <c r="D127" s="12" t="str">
        <f>Kriteeristö!G127</f>
        <v>Vähäinen</v>
      </c>
      <c r="E127" s="12" t="str">
        <f>Kriteeristö!H127</f>
        <v>Henkilötieto</v>
      </c>
      <c r="F127" s="34" t="str">
        <f>Kriteeristö!L127</f>
        <v>Turvallisuuteen liittyvien tapahtumien jäljitettävyys</v>
      </c>
      <c r="G127" s="49">
        <v>1</v>
      </c>
      <c r="H127" s="49">
        <v>1</v>
      </c>
      <c r="I127" s="49">
        <v>1</v>
      </c>
      <c r="J127" s="49">
        <v>0</v>
      </c>
      <c r="K127" s="49">
        <v>0</v>
      </c>
      <c r="L127" s="49">
        <v>0</v>
      </c>
      <c r="M127" s="49">
        <v>0</v>
      </c>
      <c r="N127" s="49">
        <v>0</v>
      </c>
      <c r="O127" s="49">
        <v>0</v>
      </c>
      <c r="P127" s="49">
        <v>0</v>
      </c>
    </row>
    <row r="128" spans="1:16" ht="26.1">
      <c r="A128" s="13" t="str">
        <f>Kriteeristö!C128</f>
        <v>TEK-12.1</v>
      </c>
      <c r="B128" s="12" t="str">
        <f>Kriteeristö!E128</f>
        <v>Julkinen</v>
      </c>
      <c r="C128" s="12" t="str">
        <f>Kriteeristö!F128</f>
        <v>Vähäinen</v>
      </c>
      <c r="D128" s="12" t="str">
        <f>Kriteeristö!G128</f>
        <v>Vähäinen</v>
      </c>
      <c r="E128" s="12" t="str">
        <f>Kriteeristö!H128</f>
        <v>Henkilötieto</v>
      </c>
      <c r="F128" s="34" t="str">
        <f>Kriteeristö!L128</f>
        <v>Turvallisuuteen liittyvien tapahtumien jäljitettävyys - tietojen luovutukset</v>
      </c>
      <c r="G128" s="49">
        <v>1</v>
      </c>
      <c r="H128" s="49">
        <v>1</v>
      </c>
      <c r="I128" s="49">
        <v>1</v>
      </c>
      <c r="J128" s="49">
        <v>0</v>
      </c>
      <c r="K128" s="49">
        <v>0</v>
      </c>
      <c r="L128" s="49">
        <v>0</v>
      </c>
      <c r="M128" s="49">
        <v>0</v>
      </c>
      <c r="N128" s="49">
        <v>0</v>
      </c>
      <c r="O128" s="49">
        <v>0</v>
      </c>
      <c r="P128" s="49">
        <v>0</v>
      </c>
    </row>
    <row r="129" spans="1:16" ht="12.95">
      <c r="A129" s="13" t="str">
        <f>Kriteeristö!C129</f>
        <v>TEK-12.2</v>
      </c>
      <c r="B129" s="12" t="str">
        <f>Kriteeristö!E129</f>
        <v>TL III</v>
      </c>
      <c r="C129" s="12">
        <f>Kriteeristö!F129</f>
        <v>0</v>
      </c>
      <c r="D129" s="12">
        <f>Kriteeristö!G129</f>
        <v>0</v>
      </c>
      <c r="E129" s="12">
        <f>Kriteeristö!H129</f>
        <v>0</v>
      </c>
      <c r="F129" s="34" t="str">
        <f>Kriteeristö!L129</f>
        <v>Turvallisuuteen liittyvien tapahtumien jäljitettävyys - TL III</v>
      </c>
      <c r="G129" s="49">
        <v>0</v>
      </c>
      <c r="H129" s="49">
        <v>2</v>
      </c>
      <c r="I129" s="49">
        <v>1</v>
      </c>
      <c r="J129" s="49">
        <v>0</v>
      </c>
      <c r="K129" s="49">
        <v>0</v>
      </c>
      <c r="L129" s="49">
        <v>0</v>
      </c>
      <c r="M129" s="49">
        <v>0</v>
      </c>
      <c r="N129" s="49">
        <v>0</v>
      </c>
      <c r="O129" s="49">
        <v>0</v>
      </c>
      <c r="P129" s="49">
        <v>0</v>
      </c>
    </row>
    <row r="130" spans="1:16" ht="12.95">
      <c r="A130" s="13" t="str">
        <f>Kriteeristö!C130</f>
        <v>TEK-12.3</v>
      </c>
      <c r="B130" s="12" t="str">
        <f>Kriteeristö!E130</f>
        <v>TL I</v>
      </c>
      <c r="C130" s="12">
        <f>Kriteeristö!F130</f>
        <v>0</v>
      </c>
      <c r="D130" s="12">
        <f>Kriteeristö!G130</f>
        <v>0</v>
      </c>
      <c r="E130" s="12">
        <f>Kriteeristö!H130</f>
        <v>0</v>
      </c>
      <c r="F130" s="34" t="str">
        <f>Kriteeristö!L130</f>
        <v>Turvallisuuteen liittyvien tapahtumien jäljitettävyys - TL I</v>
      </c>
      <c r="G130" s="49">
        <v>0</v>
      </c>
      <c r="H130" s="49">
        <v>0</v>
      </c>
      <c r="I130" s="49">
        <v>1</v>
      </c>
      <c r="J130" s="49">
        <v>0</v>
      </c>
      <c r="K130" s="49">
        <v>0</v>
      </c>
      <c r="L130" s="49">
        <v>0</v>
      </c>
      <c r="M130" s="49">
        <v>0</v>
      </c>
      <c r="N130" s="49">
        <v>0</v>
      </c>
      <c r="O130" s="49">
        <v>0</v>
      </c>
      <c r="P130" s="49">
        <v>0</v>
      </c>
    </row>
    <row r="131" spans="1:16" ht="12.95">
      <c r="A131" s="13" t="str">
        <f>Kriteeristö!C131</f>
        <v>TEK-13</v>
      </c>
      <c r="B131" s="12" t="str">
        <f>Kriteeristö!E131</f>
        <v>Salassa pidettävä</v>
      </c>
      <c r="C131" s="12" t="str">
        <f>Kriteeristö!F131</f>
        <v>Tärkeä</v>
      </c>
      <c r="D131" s="12" t="str">
        <f>Kriteeristö!G131</f>
        <v>Tärkeä</v>
      </c>
      <c r="E131" s="12" t="str">
        <f>Kriteeristö!H131</f>
        <v>Erityinen henkilötietoryhmä</v>
      </c>
      <c r="F131" s="34" t="str">
        <f>Kriteeristö!L131</f>
        <v>Poikkeamien havainnointikyky ja toipuminen</v>
      </c>
      <c r="G131" s="49">
        <v>1</v>
      </c>
      <c r="H131" s="49">
        <v>1</v>
      </c>
      <c r="I131" s="49">
        <v>1</v>
      </c>
      <c r="J131" s="49">
        <v>0</v>
      </c>
      <c r="K131" s="49">
        <v>0</v>
      </c>
      <c r="L131" s="49">
        <v>0</v>
      </c>
      <c r="M131" s="49">
        <v>0</v>
      </c>
      <c r="N131" s="49">
        <v>0</v>
      </c>
      <c r="O131" s="49">
        <v>0</v>
      </c>
      <c r="P131" s="49">
        <v>0</v>
      </c>
    </row>
    <row r="132" spans="1:16" ht="26.1">
      <c r="A132" s="13" t="str">
        <f>Kriteeristö!C132</f>
        <v>TEK-13.1</v>
      </c>
      <c r="B132" s="12" t="str">
        <f>Kriteeristö!E132</f>
        <v>Salassa pidettävä</v>
      </c>
      <c r="C132" s="12" t="str">
        <f>Kriteeristö!F132</f>
        <v>Tärkeä</v>
      </c>
      <c r="D132" s="12">
        <f>Kriteeristö!G132</f>
        <v>0</v>
      </c>
      <c r="E132" s="12" t="str">
        <f>Kriteeristö!H132</f>
        <v>Erityinen henkilötietoryhmä</v>
      </c>
      <c r="F132" s="34" t="str">
        <f>Kriteeristö!L132</f>
        <v>Poikkeamien havainnointikyky ja toipuminen - poikkeamien havainnointi lokitiedoista</v>
      </c>
      <c r="G132" s="49">
        <v>2</v>
      </c>
      <c r="H132" s="49">
        <v>1</v>
      </c>
      <c r="I132" s="49">
        <v>1</v>
      </c>
      <c r="J132" s="49">
        <v>0</v>
      </c>
      <c r="K132" s="49">
        <v>0</v>
      </c>
      <c r="L132" s="49">
        <v>0</v>
      </c>
      <c r="M132" s="49">
        <v>0</v>
      </c>
      <c r="N132" s="49">
        <v>0</v>
      </c>
      <c r="O132" s="49">
        <v>0</v>
      </c>
      <c r="P132" s="49">
        <v>0</v>
      </c>
    </row>
    <row r="133" spans="1:16" ht="12.95">
      <c r="A133" s="13" t="str">
        <f>Kriteeristö!C133</f>
        <v>TEK-13.2</v>
      </c>
      <c r="B133" s="12" t="str">
        <f>Kriteeristö!E133</f>
        <v>TL IV</v>
      </c>
      <c r="C133" s="12" t="str">
        <f>Kriteeristö!F133</f>
        <v>Tärkeä</v>
      </c>
      <c r="D133" s="12">
        <f>Kriteeristö!G133</f>
        <v>0</v>
      </c>
      <c r="E133" s="12">
        <f>Kriteeristö!H133</f>
        <v>0</v>
      </c>
      <c r="F133" s="34" t="str">
        <f>Kriteeristö!L133</f>
        <v>Poikkeamien havainnointikyky ja toipuminen - TL IV</v>
      </c>
      <c r="G133" s="49">
        <v>0</v>
      </c>
      <c r="H133" s="49">
        <v>2</v>
      </c>
      <c r="I133" s="49">
        <v>1</v>
      </c>
      <c r="J133" s="49">
        <v>0</v>
      </c>
      <c r="K133" s="49">
        <v>0</v>
      </c>
      <c r="L133" s="49">
        <v>0</v>
      </c>
      <c r="M133" s="49">
        <v>0</v>
      </c>
      <c r="N133" s="49">
        <v>0</v>
      </c>
      <c r="O133" s="49">
        <v>0</v>
      </c>
      <c r="P133" s="49">
        <v>0</v>
      </c>
    </row>
    <row r="134" spans="1:16" ht="12.95">
      <c r="A134" s="13" t="str">
        <f>Kriteeristö!C134</f>
        <v>TEK-13.3</v>
      </c>
      <c r="B134" s="12" t="str">
        <f>Kriteeristö!E134</f>
        <v>TL I</v>
      </c>
      <c r="C134" s="12">
        <f>Kriteeristö!F134</f>
        <v>0</v>
      </c>
      <c r="D134" s="12">
        <f>Kriteeristö!G134</f>
        <v>0</v>
      </c>
      <c r="E134" s="12">
        <f>Kriteeristö!H134</f>
        <v>0</v>
      </c>
      <c r="F134" s="34" t="str">
        <f>Kriteeristö!L134</f>
        <v>Poikkeamien havainnointikyky ja toipuminen - TL I</v>
      </c>
      <c r="G134" s="49">
        <v>0</v>
      </c>
      <c r="H134" s="49">
        <v>0</v>
      </c>
      <c r="I134" s="49">
        <v>1</v>
      </c>
      <c r="J134" s="49">
        <v>0</v>
      </c>
      <c r="K134" s="49">
        <v>0</v>
      </c>
      <c r="L134" s="49">
        <v>0</v>
      </c>
      <c r="M134" s="49">
        <v>0</v>
      </c>
      <c r="N134" s="49">
        <v>0</v>
      </c>
      <c r="O134" s="49">
        <v>0</v>
      </c>
      <c r="P134" s="49">
        <v>0</v>
      </c>
    </row>
    <row r="135" spans="1:16" ht="12.95">
      <c r="A135" s="13" t="str">
        <f>Kriteeristö!C135</f>
        <v>TEK-14</v>
      </c>
      <c r="B135" s="12" t="str">
        <f>Kriteeristö!E135</f>
        <v>Julkinen</v>
      </c>
      <c r="C135" s="12" t="str">
        <f>Kriteeristö!F135</f>
        <v>Vähäinen</v>
      </c>
      <c r="D135" s="12" t="str">
        <f>Kriteeristö!G135</f>
        <v>Vähäinen</v>
      </c>
      <c r="E135" s="12" t="str">
        <f>Kriteeristö!H135</f>
        <v>Henkilötieto</v>
      </c>
      <c r="F135" s="34" t="str">
        <f>Kriteeristö!L135</f>
        <v>Ohjelmistojen turvallisuuden varmistaminen</v>
      </c>
      <c r="G135" s="49">
        <v>1</v>
      </c>
      <c r="H135" s="49">
        <v>1</v>
      </c>
      <c r="I135" s="49">
        <v>1</v>
      </c>
      <c r="J135" s="49">
        <v>0</v>
      </c>
      <c r="K135" s="49">
        <v>0</v>
      </c>
      <c r="L135" s="49">
        <v>0</v>
      </c>
      <c r="M135" s="49">
        <v>0</v>
      </c>
      <c r="N135" s="49">
        <v>0</v>
      </c>
      <c r="O135" s="49">
        <v>0</v>
      </c>
      <c r="P135" s="49">
        <v>0</v>
      </c>
    </row>
    <row r="136" spans="1:16" ht="12.95">
      <c r="A136" s="13" t="str">
        <f>Kriteeristö!C136</f>
        <v>TEK-15</v>
      </c>
      <c r="B136" s="12" t="str">
        <f>Kriteeristö!E136</f>
        <v>TL III</v>
      </c>
      <c r="C136" s="12">
        <f>Kriteeristö!F136</f>
        <v>0</v>
      </c>
      <c r="D136" s="12">
        <f>Kriteeristö!G136</f>
        <v>0</v>
      </c>
      <c r="E136" s="12">
        <f>Kriteeristö!H136</f>
        <v>0</v>
      </c>
      <c r="F136" s="34" t="str">
        <f>Kriteeristö!L136</f>
        <v>Hajasäteily (TEMPEST) ja elektroninen tiedustelu</v>
      </c>
      <c r="G136" s="49">
        <v>0</v>
      </c>
      <c r="H136" s="49">
        <v>2</v>
      </c>
      <c r="I136" s="49">
        <v>1</v>
      </c>
      <c r="J136" s="49">
        <v>0</v>
      </c>
      <c r="K136" s="49">
        <v>0</v>
      </c>
      <c r="L136" s="49">
        <v>0</v>
      </c>
      <c r="M136" s="49">
        <v>0</v>
      </c>
      <c r="N136" s="49">
        <v>0</v>
      </c>
      <c r="O136" s="49">
        <v>0</v>
      </c>
      <c r="P136" s="49">
        <v>0</v>
      </c>
    </row>
    <row r="137" spans="1:16" ht="12.95">
      <c r="A137" s="13" t="str">
        <f>Kriteeristö!C137</f>
        <v>TEK-15.1</v>
      </c>
      <c r="B137" s="12" t="str">
        <f>Kriteeristö!E137</f>
        <v>TL II</v>
      </c>
      <c r="C137" s="12">
        <f>Kriteeristö!F137</f>
        <v>0</v>
      </c>
      <c r="D137" s="12">
        <f>Kriteeristö!G137</f>
        <v>0</v>
      </c>
      <c r="E137" s="12">
        <f>Kriteeristö!H137</f>
        <v>0</v>
      </c>
      <c r="F137" s="34" t="str">
        <f>Kriteeristö!L137</f>
        <v>Hajasäteily (TEMPEST) ja elektroninen tiedustelu - TL II</v>
      </c>
      <c r="G137" s="49">
        <v>0</v>
      </c>
      <c r="H137" s="49">
        <v>2</v>
      </c>
      <c r="I137" s="49">
        <v>1</v>
      </c>
      <c r="J137" s="49">
        <v>0</v>
      </c>
      <c r="K137" s="49">
        <v>0</v>
      </c>
      <c r="L137" s="49">
        <v>0</v>
      </c>
      <c r="M137" s="49">
        <v>0</v>
      </c>
      <c r="N137" s="49">
        <v>0</v>
      </c>
      <c r="O137" s="49">
        <v>0</v>
      </c>
      <c r="P137" s="49">
        <v>0</v>
      </c>
    </row>
    <row r="138" spans="1:16" ht="12.95">
      <c r="A138" s="13" t="str">
        <f>Kriteeristö!C138</f>
        <v>TEK-15.2</v>
      </c>
      <c r="B138" s="12" t="str">
        <f>Kriteeristö!E138</f>
        <v>TL I</v>
      </c>
      <c r="C138" s="12">
        <f>Kriteeristö!F138</f>
        <v>0</v>
      </c>
      <c r="D138" s="12">
        <f>Kriteeristö!G138</f>
        <v>0</v>
      </c>
      <c r="E138" s="12">
        <f>Kriteeristö!H138</f>
        <v>0</v>
      </c>
      <c r="F138" s="34" t="str">
        <f>Kriteeristö!L138</f>
        <v>Hajasäteily (TEMPEST) ja elektroninen tiedustelu - TL I</v>
      </c>
      <c r="G138" s="49">
        <v>0</v>
      </c>
      <c r="H138" s="49">
        <v>2</v>
      </c>
      <c r="I138" s="49">
        <v>1</v>
      </c>
      <c r="J138" s="49">
        <v>0</v>
      </c>
      <c r="K138" s="49">
        <v>0</v>
      </c>
      <c r="L138" s="49">
        <v>0</v>
      </c>
      <c r="M138" s="49">
        <v>0</v>
      </c>
      <c r="N138" s="49">
        <v>0</v>
      </c>
      <c r="O138" s="49">
        <v>0</v>
      </c>
      <c r="P138" s="49">
        <v>0</v>
      </c>
    </row>
    <row r="139" spans="1:16" ht="26.1">
      <c r="A139" s="13" t="str">
        <f>Kriteeristö!C139</f>
        <v>TEK-16</v>
      </c>
      <c r="B139" s="12" t="str">
        <f>Kriteeristö!E139</f>
        <v>Salassa pidettävä</v>
      </c>
      <c r="C139" s="12" t="str">
        <f>Kriteeristö!F139</f>
        <v>Tärkeä</v>
      </c>
      <c r="D139" s="12">
        <f>Kriteeristö!G139</f>
        <v>0</v>
      </c>
      <c r="E139" s="12" t="str">
        <f>Kriteeristö!H139</f>
        <v>Erityinen henkilötietoryhmä</v>
      </c>
      <c r="F139" s="34" t="str">
        <f>Kriteeristö!L139</f>
        <v xml:space="preserve">Tiedon salaaminen
</v>
      </c>
      <c r="G139" s="49">
        <v>1</v>
      </c>
      <c r="H139" s="49">
        <v>1</v>
      </c>
      <c r="I139" s="49">
        <v>1</v>
      </c>
      <c r="J139" s="49">
        <v>0</v>
      </c>
      <c r="K139" s="49">
        <v>0</v>
      </c>
      <c r="L139" s="49">
        <v>0</v>
      </c>
      <c r="M139" s="49">
        <v>0</v>
      </c>
      <c r="N139" s="49">
        <v>0</v>
      </c>
      <c r="O139" s="49">
        <v>0</v>
      </c>
      <c r="P139" s="49">
        <v>0</v>
      </c>
    </row>
    <row r="140" spans="1:16" ht="26.1">
      <c r="A140" s="13" t="str">
        <f>Kriteeristö!C140</f>
        <v>TEK-16.1</v>
      </c>
      <c r="B140" s="12" t="str">
        <f>Kriteeristö!E140</f>
        <v>Salassa pidettävä</v>
      </c>
      <c r="C140" s="12" t="str">
        <f>Kriteeristö!F140</f>
        <v>Tärkeä</v>
      </c>
      <c r="D140" s="12">
        <f>Kriteeristö!G140</f>
        <v>0</v>
      </c>
      <c r="E140" s="12" t="str">
        <f>Kriteeristö!H140</f>
        <v>Erityinen henkilötietoryhmä</v>
      </c>
      <c r="F140" s="34" t="str">
        <f>Kriteeristö!L140</f>
        <v xml:space="preserve">Tiedon salaaminen - salaaminen turvallisuusalueen sisällä
</v>
      </c>
      <c r="G140" s="49">
        <v>1</v>
      </c>
      <c r="H140" s="49">
        <v>1</v>
      </c>
      <c r="I140" s="49">
        <v>1</v>
      </c>
      <c r="J140" s="49">
        <v>0</v>
      </c>
      <c r="K140" s="49">
        <v>0</v>
      </c>
      <c r="L140" s="49">
        <v>0</v>
      </c>
      <c r="M140" s="49">
        <v>0</v>
      </c>
      <c r="N140" s="49">
        <v>0</v>
      </c>
      <c r="O140" s="49">
        <v>0</v>
      </c>
      <c r="P140" s="49">
        <v>0</v>
      </c>
    </row>
    <row r="141" spans="1:16" ht="26.1">
      <c r="A141" s="13" t="str">
        <f>Kriteeristö!C141</f>
        <v>TEK-16.2</v>
      </c>
      <c r="B141" s="12" t="str">
        <f>Kriteeristö!E141</f>
        <v>TL IV</v>
      </c>
      <c r="C141" s="12">
        <f>Kriteeristö!F141</f>
        <v>0</v>
      </c>
      <c r="D141" s="12">
        <f>Kriteeristö!G141</f>
        <v>0</v>
      </c>
      <c r="E141" s="12">
        <f>Kriteeristö!H141</f>
        <v>0</v>
      </c>
      <c r="F141" s="34" t="str">
        <f>Kriteeristö!L141</f>
        <v>Tiedon salaaminen - turvallisuusluokitellun tiedon siirto turvallisuusalueiden ulkopuolella</v>
      </c>
      <c r="G141" s="49">
        <v>0</v>
      </c>
      <c r="H141" s="49">
        <v>2</v>
      </c>
      <c r="I141" s="49">
        <v>1</v>
      </c>
      <c r="J141" s="49">
        <v>0</v>
      </c>
      <c r="K141" s="49">
        <v>0</v>
      </c>
      <c r="L141" s="49">
        <v>0</v>
      </c>
      <c r="M141" s="49">
        <v>0</v>
      </c>
      <c r="N141" s="49">
        <v>0</v>
      </c>
      <c r="O141" s="49">
        <v>0</v>
      </c>
      <c r="P141" s="49">
        <v>0</v>
      </c>
    </row>
    <row r="142" spans="1:16" ht="26.1">
      <c r="A142" s="13" t="str">
        <f>Kriteeristö!C142</f>
        <v>TEK-16.3</v>
      </c>
      <c r="B142" s="12" t="str">
        <f>Kriteeristö!E142</f>
        <v>TL IV</v>
      </c>
      <c r="C142" s="12">
        <f>Kriteeristö!F142</f>
        <v>0</v>
      </c>
      <c r="D142" s="12">
        <f>Kriteeristö!G142</f>
        <v>0</v>
      </c>
      <c r="E142" s="12">
        <f>Kriteeristö!H142</f>
        <v>0</v>
      </c>
      <c r="F142" s="34" t="str">
        <f>Kriteeristö!L142</f>
        <v>Tiedon salaaminen - turvallisuusluokitellun tiedon siirto turvallisuusalueiden sisällä</v>
      </c>
      <c r="G142" s="49">
        <v>0</v>
      </c>
      <c r="H142" s="49">
        <v>2</v>
      </c>
      <c r="I142" s="49">
        <v>1</v>
      </c>
      <c r="J142" s="49">
        <v>0</v>
      </c>
      <c r="K142" s="49">
        <v>0</v>
      </c>
      <c r="L142" s="49">
        <v>0</v>
      </c>
      <c r="M142" s="49">
        <v>0</v>
      </c>
      <c r="N142" s="49">
        <v>0</v>
      </c>
      <c r="O142" s="49">
        <v>0</v>
      </c>
      <c r="P142" s="49">
        <v>0</v>
      </c>
    </row>
    <row r="143" spans="1:16" ht="12.95">
      <c r="A143" s="13" t="str">
        <f>Kriteeristö!C143</f>
        <v>TEK-16.4</v>
      </c>
      <c r="B143" s="12" t="str">
        <f>Kriteeristö!E143</f>
        <v>TL III</v>
      </c>
      <c r="C143" s="12">
        <f>Kriteeristö!F143</f>
        <v>0</v>
      </c>
      <c r="D143" s="12">
        <f>Kriteeristö!G143</f>
        <v>0</v>
      </c>
      <c r="E143" s="12">
        <f>Kriteeristö!H143</f>
        <v>0</v>
      </c>
      <c r="F143" s="34" t="str">
        <f>Kriteeristö!L143</f>
        <v>Tiedon salaaminen - TL III</v>
      </c>
      <c r="G143" s="49">
        <v>0</v>
      </c>
      <c r="H143" s="49">
        <v>2</v>
      </c>
      <c r="I143" s="49">
        <v>1</v>
      </c>
      <c r="J143" s="49">
        <v>0</v>
      </c>
      <c r="K143" s="49">
        <v>0</v>
      </c>
      <c r="L143" s="49">
        <v>0</v>
      </c>
      <c r="M143" s="49">
        <v>0</v>
      </c>
      <c r="N143" s="49">
        <v>0</v>
      </c>
      <c r="O143" s="49">
        <v>0</v>
      </c>
      <c r="P143" s="49">
        <v>0</v>
      </c>
    </row>
    <row r="144" spans="1:16" ht="12.95">
      <c r="A144" s="13" t="str">
        <f>Kriteeristö!C144</f>
        <v>TEK-16.5</v>
      </c>
      <c r="B144" s="12" t="str">
        <f>Kriteeristö!E144</f>
        <v>TL I</v>
      </c>
      <c r="C144" s="12">
        <f>Kriteeristö!F144</f>
        <v>0</v>
      </c>
      <c r="D144" s="12">
        <f>Kriteeristö!G144</f>
        <v>0</v>
      </c>
      <c r="E144" s="12">
        <f>Kriteeristö!H144</f>
        <v>0</v>
      </c>
      <c r="F144" s="34" t="str">
        <f>Kriteeristö!L144</f>
        <v>Tiedon salaaminen - TL I</v>
      </c>
      <c r="G144" s="49">
        <v>0</v>
      </c>
      <c r="H144" s="49">
        <v>0</v>
      </c>
      <c r="I144" s="49">
        <v>1</v>
      </c>
      <c r="J144" s="49">
        <v>0</v>
      </c>
      <c r="K144" s="49">
        <v>0</v>
      </c>
      <c r="L144" s="49">
        <v>0</v>
      </c>
      <c r="M144" s="49">
        <v>0</v>
      </c>
      <c r="N144" s="49">
        <v>0</v>
      </c>
      <c r="O144" s="49">
        <v>0</v>
      </c>
      <c r="P144" s="49">
        <v>0</v>
      </c>
    </row>
    <row r="145" spans="1:16" ht="12.95">
      <c r="A145" s="13" t="str">
        <f>Kriteeristö!C145</f>
        <v>TEK-17</v>
      </c>
      <c r="B145" s="12" t="str">
        <f>Kriteeristö!E145</f>
        <v>Julkinen</v>
      </c>
      <c r="C145" s="12" t="str">
        <f>Kriteeristö!F145</f>
        <v>Vähäinen</v>
      </c>
      <c r="D145" s="12" t="str">
        <f>Kriteeristö!G145</f>
        <v>Vähäinen</v>
      </c>
      <c r="E145" s="12" t="str">
        <f>Kriteeristö!H145</f>
        <v>Henkilötieto</v>
      </c>
      <c r="F145" s="34" t="str">
        <f>Kriteeristö!L145</f>
        <v>Muutoshallintamenettelyt</v>
      </c>
      <c r="G145" s="49">
        <v>1</v>
      </c>
      <c r="H145" s="49">
        <v>1</v>
      </c>
      <c r="I145" s="49">
        <v>1</v>
      </c>
      <c r="J145" s="49">
        <v>0</v>
      </c>
      <c r="K145" s="49">
        <v>0</v>
      </c>
      <c r="L145" s="49">
        <v>0</v>
      </c>
      <c r="M145" s="49">
        <v>0</v>
      </c>
      <c r="N145" s="49">
        <v>0</v>
      </c>
      <c r="O145" s="49">
        <v>0</v>
      </c>
      <c r="P145" s="49">
        <v>0</v>
      </c>
    </row>
    <row r="146" spans="1:16" ht="12.95">
      <c r="A146" s="13" t="str">
        <f>Kriteeristö!C146</f>
        <v>TEK-17.1</v>
      </c>
      <c r="B146" s="12" t="str">
        <f>Kriteeristö!E146</f>
        <v>Julkinen</v>
      </c>
      <c r="C146" s="12" t="str">
        <f>Kriteeristö!F146</f>
        <v>Vähäinen</v>
      </c>
      <c r="D146" s="12" t="str">
        <f>Kriteeristö!G146</f>
        <v>Vähäinen</v>
      </c>
      <c r="E146" s="12" t="str">
        <f>Kriteeristö!H146</f>
        <v>Henkilötieto</v>
      </c>
      <c r="F146" s="34" t="str">
        <f>Kriteeristö!L146</f>
        <v>Muutoshallintamenettelyt - uudelleenarviointi</v>
      </c>
      <c r="G146" s="49">
        <v>2</v>
      </c>
      <c r="H146" s="49">
        <v>1</v>
      </c>
      <c r="I146" s="49">
        <v>1</v>
      </c>
      <c r="J146" s="49">
        <v>0</v>
      </c>
      <c r="K146" s="49">
        <v>0</v>
      </c>
      <c r="L146" s="49">
        <v>0</v>
      </c>
      <c r="M146" s="49">
        <v>0</v>
      </c>
      <c r="N146" s="49">
        <v>0</v>
      </c>
      <c r="O146" s="49">
        <v>0</v>
      </c>
      <c r="P146" s="49">
        <v>0</v>
      </c>
    </row>
    <row r="147" spans="1:16" ht="12.95">
      <c r="A147" s="13" t="str">
        <f>Kriteeristö!C147</f>
        <v>TEK-17.2</v>
      </c>
      <c r="B147" s="12" t="str">
        <f>Kriteeristö!E147</f>
        <v>Julkinen</v>
      </c>
      <c r="C147" s="12" t="str">
        <f>Kriteeristö!F147</f>
        <v>Vähäinen</v>
      </c>
      <c r="D147" s="12" t="str">
        <f>Kriteeristö!G147</f>
        <v>Vähäinen</v>
      </c>
      <c r="E147" s="12" t="str">
        <f>Kriteeristö!H147</f>
        <v>Henkilötieto</v>
      </c>
      <c r="F147" s="34" t="str">
        <f>Kriteeristö!L147</f>
        <v>Muutoshallintamenettelyt - dokumentointi</v>
      </c>
      <c r="G147" s="49">
        <v>2</v>
      </c>
      <c r="H147" s="49">
        <v>1</v>
      </c>
      <c r="I147" s="49">
        <v>1</v>
      </c>
      <c r="J147" s="49">
        <v>0</v>
      </c>
      <c r="K147" s="49">
        <v>0</v>
      </c>
      <c r="L147" s="49">
        <v>0</v>
      </c>
      <c r="M147" s="49">
        <v>0</v>
      </c>
      <c r="N147" s="49">
        <v>0</v>
      </c>
      <c r="O147" s="49">
        <v>0</v>
      </c>
      <c r="P147" s="49">
        <v>0</v>
      </c>
    </row>
    <row r="148" spans="1:16" ht="12.95">
      <c r="A148" s="13" t="str">
        <f>Kriteeristö!C148</f>
        <v>TEK-17.3</v>
      </c>
      <c r="B148" s="12" t="str">
        <f>Kriteeristö!E148</f>
        <v>TL IV</v>
      </c>
      <c r="C148" s="12" t="str">
        <f>Kriteeristö!F148</f>
        <v>Tärkeä</v>
      </c>
      <c r="D148" s="12" t="str">
        <f>Kriteeristö!G148</f>
        <v>Tärkeä</v>
      </c>
      <c r="E148" s="12">
        <f>Kriteeristö!H148</f>
        <v>0</v>
      </c>
      <c r="F148" s="34" t="str">
        <f>Kriteeristö!L148</f>
        <v>Muutoshallintamenettelyt - TL IV</v>
      </c>
      <c r="G148" s="49">
        <v>0</v>
      </c>
      <c r="H148" s="49">
        <v>1</v>
      </c>
      <c r="I148" s="49">
        <v>1</v>
      </c>
      <c r="J148" s="49">
        <v>0</v>
      </c>
      <c r="K148" s="49">
        <v>0</v>
      </c>
      <c r="L148" s="49">
        <v>0</v>
      </c>
      <c r="M148" s="49">
        <v>0</v>
      </c>
      <c r="N148" s="49">
        <v>0</v>
      </c>
      <c r="O148" s="49">
        <v>0</v>
      </c>
      <c r="P148" s="49">
        <v>0</v>
      </c>
    </row>
    <row r="149" spans="1:16" ht="12.95">
      <c r="A149" s="13" t="str">
        <f>Kriteeristö!C149</f>
        <v>TEK-17.4</v>
      </c>
      <c r="B149" s="12" t="str">
        <f>Kriteeristö!E149</f>
        <v>TL II</v>
      </c>
      <c r="C149" s="12" t="str">
        <f>Kriteeristö!F149</f>
        <v>Kriittinen</v>
      </c>
      <c r="D149" s="12" t="str">
        <f>Kriteeristö!G149</f>
        <v>Kriittinen</v>
      </c>
      <c r="E149" s="12">
        <f>Kriteeristö!H149</f>
        <v>0</v>
      </c>
      <c r="F149" s="34" t="str">
        <f>Kriteeristö!L149</f>
        <v>Muutoshallintamenettelyt - TL II</v>
      </c>
      <c r="G149" s="49">
        <v>0</v>
      </c>
      <c r="H149" s="49">
        <v>2</v>
      </c>
      <c r="I149" s="49">
        <v>1</v>
      </c>
      <c r="J149" s="49">
        <v>0</v>
      </c>
      <c r="K149" s="49">
        <v>0</v>
      </c>
      <c r="L149" s="49">
        <v>0</v>
      </c>
      <c r="M149" s="49">
        <v>0</v>
      </c>
      <c r="N149" s="49">
        <v>0</v>
      </c>
      <c r="O149" s="49">
        <v>0</v>
      </c>
      <c r="P149" s="49">
        <v>0</v>
      </c>
    </row>
    <row r="150" spans="1:16" ht="12.95">
      <c r="A150" s="13" t="str">
        <f>Kriteeristö!C150</f>
        <v>TEK-18</v>
      </c>
      <c r="B150" s="12" t="str">
        <f>Kriteeristö!E150</f>
        <v>Salassa pidettävä</v>
      </c>
      <c r="C150" s="12" t="str">
        <f>Kriteeristö!F150</f>
        <v>Normaali</v>
      </c>
      <c r="D150" s="12">
        <f>Kriteeristö!G150</f>
        <v>0</v>
      </c>
      <c r="E150" s="12" t="str">
        <f>Kriteeristö!H150</f>
        <v>Henkilötieto</v>
      </c>
      <c r="F150" s="34" t="str">
        <f>Kriteeristö!L150</f>
        <v>Etäkäyttö</v>
      </c>
      <c r="G150" s="49">
        <v>1</v>
      </c>
      <c r="H150" s="49">
        <v>2</v>
      </c>
      <c r="I150" s="49">
        <v>1</v>
      </c>
      <c r="J150" s="49">
        <v>0</v>
      </c>
      <c r="K150" s="49">
        <v>0</v>
      </c>
      <c r="L150" s="49">
        <v>0</v>
      </c>
      <c r="M150" s="49">
        <v>0</v>
      </c>
      <c r="N150" s="49">
        <v>0</v>
      </c>
      <c r="O150" s="49">
        <v>0</v>
      </c>
      <c r="P150" s="49">
        <v>0</v>
      </c>
    </row>
    <row r="151" spans="1:16" ht="12.95">
      <c r="A151" s="13" t="str">
        <f>Kriteeristö!C151</f>
        <v>TEK-18.1</v>
      </c>
      <c r="B151" s="12" t="str">
        <f>Kriteeristö!E151</f>
        <v>Salassa pidettävä</v>
      </c>
      <c r="C151" s="12" t="str">
        <f>Kriteeristö!F151</f>
        <v>Tärkeä</v>
      </c>
      <c r="D151" s="12">
        <f>Kriteeristö!G151</f>
        <v>0</v>
      </c>
      <c r="E151" s="12" t="str">
        <f>Kriteeristö!H151</f>
        <v>Erityinen henkilötietoryhmä</v>
      </c>
      <c r="F151" s="34" t="str">
        <f>Kriteeristö!L151</f>
        <v>Etäkäyttö - tietojen ja tietoliikenteen salaaminen</v>
      </c>
      <c r="G151" s="49">
        <v>1</v>
      </c>
      <c r="H151" s="49">
        <v>1</v>
      </c>
      <c r="I151" s="49">
        <v>1</v>
      </c>
      <c r="J151" s="49">
        <v>0</v>
      </c>
      <c r="K151" s="49">
        <v>0</v>
      </c>
      <c r="L151" s="49">
        <v>0</v>
      </c>
      <c r="M151" s="49">
        <v>0</v>
      </c>
      <c r="N151" s="49">
        <v>0</v>
      </c>
      <c r="O151" s="49">
        <v>0</v>
      </c>
      <c r="P151" s="49">
        <v>0</v>
      </c>
    </row>
    <row r="152" spans="1:16" ht="26.1">
      <c r="A152" s="13" t="str">
        <f>Kriteeristö!C152</f>
        <v>TEK-18.2</v>
      </c>
      <c r="B152" s="12" t="str">
        <f>Kriteeristö!E152</f>
        <v>TL IV</v>
      </c>
      <c r="C152" s="12">
        <f>Kriteeristö!F152</f>
        <v>0</v>
      </c>
      <c r="D152" s="12">
        <f>Kriteeristö!G152</f>
        <v>0</v>
      </c>
      <c r="E152" s="12">
        <f>Kriteeristö!H152</f>
        <v>0</v>
      </c>
      <c r="F152" s="34" t="str">
        <f>Kriteeristö!L152</f>
        <v>Etäkäyttö - turvallisuusluokitettujen tietojen ja tietoliikenteen salaaminen</v>
      </c>
      <c r="G152" s="49">
        <v>0</v>
      </c>
      <c r="H152" s="49">
        <v>2</v>
      </c>
      <c r="I152" s="49">
        <v>1</v>
      </c>
      <c r="J152" s="49">
        <v>0</v>
      </c>
      <c r="K152" s="49">
        <v>0</v>
      </c>
      <c r="L152" s="49">
        <v>0</v>
      </c>
      <c r="M152" s="49">
        <v>0</v>
      </c>
      <c r="N152" s="49">
        <v>0</v>
      </c>
      <c r="O152" s="49">
        <v>0</v>
      </c>
      <c r="P152" s="49">
        <v>0</v>
      </c>
    </row>
    <row r="153" spans="1:16" ht="12.95">
      <c r="A153" s="13" t="str">
        <f>Kriteeristö!C153</f>
        <v>TEK-18.3</v>
      </c>
      <c r="B153" s="12" t="str">
        <f>Kriteeristö!E153</f>
        <v>TL IV</v>
      </c>
      <c r="C153" s="12" t="str">
        <f>Kriteeristö!F153</f>
        <v>Tärkeä</v>
      </c>
      <c r="D153" s="12">
        <f>Kriteeristö!G153</f>
        <v>0</v>
      </c>
      <c r="E153" s="12">
        <f>Kriteeristö!H153</f>
        <v>0</v>
      </c>
      <c r="F153" s="34" t="str">
        <f>Kriteeristö!L153</f>
        <v>Etäkäyttö - käyttäjien vahva tunnistaminen</v>
      </c>
      <c r="G153" s="49">
        <v>0</v>
      </c>
      <c r="H153" s="49">
        <v>2</v>
      </c>
      <c r="I153" s="49">
        <v>1</v>
      </c>
      <c r="J153" s="49">
        <v>0</v>
      </c>
      <c r="K153" s="49">
        <v>0</v>
      </c>
      <c r="L153" s="49">
        <v>0</v>
      </c>
      <c r="M153" s="49">
        <v>0</v>
      </c>
      <c r="N153" s="49">
        <v>0</v>
      </c>
      <c r="O153" s="49">
        <v>0</v>
      </c>
      <c r="P153" s="49">
        <v>0</v>
      </c>
    </row>
    <row r="154" spans="1:16" ht="12.95">
      <c r="A154" s="13" t="str">
        <f>Kriteeristö!C154</f>
        <v>TEK-18.4</v>
      </c>
      <c r="B154" s="12" t="str">
        <f>Kriteeristö!E154</f>
        <v>TL IV</v>
      </c>
      <c r="C154" s="12" t="str">
        <f>Kriteeristö!F154</f>
        <v>Kriittinen</v>
      </c>
      <c r="D154" s="12">
        <f>Kriteeristö!G154</f>
        <v>0</v>
      </c>
      <c r="E154" s="12">
        <f>Kriteeristö!H154</f>
        <v>0</v>
      </c>
      <c r="F154" s="34" t="str">
        <f>Kriteeristö!L154</f>
        <v>Etäkäyttö - hyväksytyt laitteet</v>
      </c>
      <c r="G154" s="49">
        <v>0</v>
      </c>
      <c r="H154" s="49">
        <v>2</v>
      </c>
      <c r="I154" s="49">
        <v>1</v>
      </c>
      <c r="J154" s="49">
        <v>0</v>
      </c>
      <c r="K154" s="49">
        <v>0</v>
      </c>
      <c r="L154" s="49">
        <v>0</v>
      </c>
      <c r="M154" s="49">
        <v>0</v>
      </c>
      <c r="N154" s="49">
        <v>0</v>
      </c>
      <c r="O154" s="49">
        <v>0</v>
      </c>
      <c r="P154" s="49">
        <v>0</v>
      </c>
    </row>
    <row r="155" spans="1:16" ht="12.95">
      <c r="A155" s="13" t="str">
        <f>Kriteeristö!C155</f>
        <v>TEK-18.5</v>
      </c>
      <c r="B155" s="12" t="str">
        <f>Kriteeristö!E155</f>
        <v>TL III</v>
      </c>
      <c r="C155" s="12">
        <f>Kriteeristö!F155</f>
        <v>0</v>
      </c>
      <c r="D155" s="12">
        <f>Kriteeristö!G155</f>
        <v>0</v>
      </c>
      <c r="E155" s="12">
        <f>Kriteeristö!H155</f>
        <v>0</v>
      </c>
      <c r="F155" s="34" t="str">
        <f>Kriteeristö!L155</f>
        <v>Etäkäyttö - turvallisuusluokitellun tiedon käyttö julkisella paikalla</v>
      </c>
      <c r="G155" s="49">
        <v>0</v>
      </c>
      <c r="H155" s="49">
        <v>2</v>
      </c>
      <c r="I155" s="49">
        <v>1</v>
      </c>
      <c r="J155" s="49">
        <v>0</v>
      </c>
      <c r="K155" s="49">
        <v>0</v>
      </c>
      <c r="L155" s="49">
        <v>0</v>
      </c>
      <c r="M155" s="49">
        <v>0</v>
      </c>
      <c r="N155" s="49">
        <v>0</v>
      </c>
      <c r="O155" s="49">
        <v>0</v>
      </c>
      <c r="P155" s="49">
        <v>0</v>
      </c>
    </row>
    <row r="156" spans="1:16" ht="12.95">
      <c r="A156" s="13" t="str">
        <f>Kriteeristö!C156</f>
        <v>TEK-18.6</v>
      </c>
      <c r="B156" s="12" t="str">
        <f>Kriteeristö!E156</f>
        <v>TL III</v>
      </c>
      <c r="C156" s="12" t="str">
        <f>Kriteeristö!F156</f>
        <v>Kriittinen</v>
      </c>
      <c r="D156" s="12">
        <f>Kriteeristö!G156</f>
        <v>0</v>
      </c>
      <c r="E156" s="12">
        <f>Kriteeristö!H156</f>
        <v>0</v>
      </c>
      <c r="F156" s="34" t="str">
        <f>Kriteeristö!L156</f>
        <v>Etäkäyttö - laitetunnistus</v>
      </c>
      <c r="G156" s="49">
        <v>0</v>
      </c>
      <c r="H156" s="49">
        <v>2</v>
      </c>
      <c r="I156" s="49">
        <v>1</v>
      </c>
      <c r="J156" s="49">
        <v>0</v>
      </c>
      <c r="K156" s="49">
        <v>0</v>
      </c>
      <c r="L156" s="49">
        <v>0</v>
      </c>
      <c r="M156" s="49">
        <v>0</v>
      </c>
      <c r="N156" s="49">
        <v>0</v>
      </c>
      <c r="O156" s="49">
        <v>0</v>
      </c>
      <c r="P156" s="49">
        <v>0</v>
      </c>
    </row>
    <row r="157" spans="1:16" ht="12.95">
      <c r="A157" s="13" t="str">
        <f>Kriteeristö!C157</f>
        <v>TEK-18.7</v>
      </c>
      <c r="B157" s="12" t="str">
        <f>Kriteeristö!E157</f>
        <v>TL III</v>
      </c>
      <c r="C157" s="12" t="str">
        <f>Kriteeristö!F157</f>
        <v>Kriittinen</v>
      </c>
      <c r="D157" s="12">
        <f>Kriteeristö!G157</f>
        <v>0</v>
      </c>
      <c r="E157" s="12">
        <f>Kriteeristö!H157</f>
        <v>0</v>
      </c>
      <c r="F157" s="34" t="str">
        <f>Kriteeristö!L157</f>
        <v>Etäkäyttö - TL III</v>
      </c>
      <c r="G157" s="49">
        <v>0</v>
      </c>
      <c r="H157" s="49">
        <v>2</v>
      </c>
      <c r="I157" s="49">
        <v>1</v>
      </c>
      <c r="J157" s="49">
        <v>0</v>
      </c>
      <c r="K157" s="49">
        <v>0</v>
      </c>
      <c r="L157" s="49">
        <v>0</v>
      </c>
      <c r="M157" s="49">
        <v>0</v>
      </c>
      <c r="N157" s="49">
        <v>0</v>
      </c>
      <c r="O157" s="49">
        <v>0</v>
      </c>
      <c r="P157" s="49">
        <v>0</v>
      </c>
    </row>
    <row r="158" spans="1:16" ht="12.95">
      <c r="A158" s="13" t="str">
        <f>Kriteeristö!C158</f>
        <v>TEK-18.8</v>
      </c>
      <c r="B158" s="12" t="str">
        <f>Kriteeristö!E158</f>
        <v>TL II</v>
      </c>
      <c r="C158" s="12">
        <f>Kriteeristö!F158</f>
        <v>0</v>
      </c>
      <c r="D158" s="12">
        <f>Kriteeristö!G158</f>
        <v>0</v>
      </c>
      <c r="E158" s="12">
        <f>Kriteeristö!H158</f>
        <v>0</v>
      </c>
      <c r="F158" s="34" t="str">
        <f>Kriteeristö!L158</f>
        <v>Etäkäyttö - etäkäyttö turvallisuusalueella</v>
      </c>
      <c r="G158" s="49">
        <v>0</v>
      </c>
      <c r="H158" s="49">
        <v>2</v>
      </c>
      <c r="I158" s="49">
        <v>1</v>
      </c>
      <c r="J158" s="49">
        <v>0</v>
      </c>
      <c r="K158" s="49">
        <v>0</v>
      </c>
      <c r="L158" s="49">
        <v>0</v>
      </c>
      <c r="M158" s="49">
        <v>0</v>
      </c>
      <c r="N158" s="49">
        <v>0</v>
      </c>
      <c r="O158" s="49">
        <v>0</v>
      </c>
      <c r="P158" s="49">
        <v>0</v>
      </c>
    </row>
    <row r="159" spans="1:16" ht="12.95">
      <c r="A159" s="13" t="str">
        <f>Kriteeristö!C159</f>
        <v>TEK-18.9</v>
      </c>
      <c r="B159" s="12" t="str">
        <f>Kriteeristö!E159</f>
        <v>TL I</v>
      </c>
      <c r="C159" s="12">
        <f>Kriteeristö!F159</f>
        <v>0</v>
      </c>
      <c r="D159" s="12">
        <f>Kriteeristö!G159</f>
        <v>0</v>
      </c>
      <c r="E159" s="12">
        <f>Kriteeristö!H159</f>
        <v>0</v>
      </c>
      <c r="F159" s="34" t="str">
        <f>Kriteeristö!L159</f>
        <v>Etäkäyttö - TL I</v>
      </c>
      <c r="G159" s="49">
        <v>0</v>
      </c>
      <c r="H159" s="49">
        <v>0</v>
      </c>
      <c r="I159" s="49">
        <v>1</v>
      </c>
      <c r="J159" s="49">
        <v>0</v>
      </c>
      <c r="K159" s="49">
        <v>0</v>
      </c>
      <c r="L159" s="49">
        <v>0</v>
      </c>
      <c r="M159" s="49">
        <v>0</v>
      </c>
      <c r="N159" s="49">
        <v>0</v>
      </c>
      <c r="O159" s="49">
        <v>0</v>
      </c>
      <c r="P159" s="49">
        <v>0</v>
      </c>
    </row>
    <row r="160" spans="1:16" ht="12.95">
      <c r="A160" s="13" t="str">
        <f>Kriteeristö!C160</f>
        <v>TEK-19</v>
      </c>
      <c r="B160" s="12" t="str">
        <f>Kriteeristö!E160</f>
        <v>Julkinen</v>
      </c>
      <c r="C160" s="12" t="str">
        <f>Kriteeristö!F160</f>
        <v>Vähäinen</v>
      </c>
      <c r="D160" s="12" t="str">
        <f>Kriteeristö!G160</f>
        <v>Vähäinen</v>
      </c>
      <c r="E160" s="12" t="str">
        <f>Kriteeristö!H160</f>
        <v>Henkilötieto</v>
      </c>
      <c r="F160" s="34" t="str">
        <f>Kriteeristö!L160</f>
        <v>Ohjelmistohaavoittuvuuksien hallinta</v>
      </c>
      <c r="G160" s="49">
        <v>1</v>
      </c>
      <c r="H160" s="49">
        <v>1</v>
      </c>
      <c r="I160" s="49">
        <v>1</v>
      </c>
      <c r="J160" s="49">
        <v>0</v>
      </c>
      <c r="K160" s="49">
        <v>0</v>
      </c>
      <c r="L160" s="49">
        <v>0</v>
      </c>
      <c r="M160" s="49">
        <v>0</v>
      </c>
      <c r="N160" s="49">
        <v>0</v>
      </c>
      <c r="O160" s="49">
        <v>0</v>
      </c>
      <c r="P160" s="49">
        <v>0</v>
      </c>
    </row>
    <row r="161" spans="1:16" ht="12.95">
      <c r="A161" s="13" t="str">
        <f>Kriteeristö!C161</f>
        <v>TEK-19.1</v>
      </c>
      <c r="B161" s="12" t="str">
        <f>Kriteeristö!E161</f>
        <v>TL IV</v>
      </c>
      <c r="C161" s="12" t="str">
        <f>Kriteeristö!F161</f>
        <v>Tärkeä</v>
      </c>
      <c r="D161" s="12" t="str">
        <f>Kriteeristö!G161</f>
        <v>Tärkeä</v>
      </c>
      <c r="E161" s="12">
        <f>Kriteeristö!H161</f>
        <v>0</v>
      </c>
      <c r="F161" s="34" t="str">
        <f>Kriteeristö!L161</f>
        <v>Ohjelmistohaavoittuvuuksien hallinta - TL IV</v>
      </c>
      <c r="G161" s="49">
        <v>0</v>
      </c>
      <c r="H161" s="49">
        <v>2</v>
      </c>
      <c r="I161" s="49">
        <v>1</v>
      </c>
      <c r="J161" s="49">
        <v>0</v>
      </c>
      <c r="K161" s="49">
        <v>0</v>
      </c>
      <c r="L161" s="49">
        <v>0</v>
      </c>
      <c r="M161" s="49">
        <v>0</v>
      </c>
      <c r="N161" s="49">
        <v>0</v>
      </c>
      <c r="O161" s="49">
        <v>0</v>
      </c>
      <c r="P161" s="49">
        <v>0</v>
      </c>
    </row>
    <row r="162" spans="1:16" ht="12.95">
      <c r="A162" s="13" t="str">
        <f>Kriteeristö!C162</f>
        <v>TEK-19.2</v>
      </c>
      <c r="B162" s="12" t="str">
        <f>Kriteeristö!E162</f>
        <v>TL III</v>
      </c>
      <c r="C162" s="12" t="str">
        <f>Kriteeristö!F162</f>
        <v>Kriittinen</v>
      </c>
      <c r="D162" s="12" t="str">
        <f>Kriteeristö!G162</f>
        <v>Kriittinen</v>
      </c>
      <c r="E162" s="12">
        <f>Kriteeristö!H162</f>
        <v>0</v>
      </c>
      <c r="F162" s="34" t="str">
        <f>Kriteeristö!L162</f>
        <v>Ohjelmistohaavoittuvuuksien hallinta - TL III</v>
      </c>
      <c r="G162" s="49">
        <v>0</v>
      </c>
      <c r="H162" s="49">
        <v>2</v>
      </c>
      <c r="I162" s="49">
        <v>1</v>
      </c>
      <c r="J162" s="49">
        <v>0</v>
      </c>
      <c r="K162" s="49">
        <v>0</v>
      </c>
      <c r="L162" s="49">
        <v>0</v>
      </c>
      <c r="M162" s="49">
        <v>0</v>
      </c>
      <c r="N162" s="49">
        <v>0</v>
      </c>
      <c r="O162" s="49">
        <v>0</v>
      </c>
      <c r="P162" s="49">
        <v>0</v>
      </c>
    </row>
    <row r="163" spans="1:16" ht="12.95">
      <c r="A163" s="13" t="str">
        <f>Kriteeristö!C163</f>
        <v>TEK-20</v>
      </c>
      <c r="B163" s="12" t="str">
        <f>Kriteeristö!E163</f>
        <v>Julkinen</v>
      </c>
      <c r="C163" s="12" t="str">
        <f>Kriteeristö!F163</f>
        <v>Vähäinen</v>
      </c>
      <c r="D163" s="12" t="str">
        <f>Kriteeristö!G163</f>
        <v>Vähäinen</v>
      </c>
      <c r="E163" s="12" t="str">
        <f>Kriteeristö!H163</f>
        <v>Henkilötieto</v>
      </c>
      <c r="F163" s="34" t="str">
        <f>Kriteeristö!L163</f>
        <v>Varmuuskopiointi</v>
      </c>
      <c r="G163" s="49">
        <v>1</v>
      </c>
      <c r="H163" s="49">
        <v>1</v>
      </c>
      <c r="I163" s="49">
        <v>1</v>
      </c>
      <c r="J163" s="49">
        <v>0</v>
      </c>
      <c r="K163" s="49">
        <v>0</v>
      </c>
      <c r="L163" s="49">
        <v>0</v>
      </c>
      <c r="M163" s="49">
        <v>0</v>
      </c>
      <c r="N163" s="49">
        <v>0</v>
      </c>
      <c r="O163" s="49">
        <v>0</v>
      </c>
      <c r="P163" s="49">
        <v>0</v>
      </c>
    </row>
    <row r="164" spans="1:16" ht="12.95">
      <c r="A164" s="13" t="str">
        <f>Kriteeristö!C164</f>
        <v>TEK-20.1</v>
      </c>
      <c r="B164" s="12" t="str">
        <f>Kriteeristö!E164</f>
        <v>TL IV</v>
      </c>
      <c r="C164" s="12">
        <f>Kriteeristö!F164</f>
        <v>0</v>
      </c>
      <c r="D164" s="12">
        <f>Kriteeristö!G164</f>
        <v>0</v>
      </c>
      <c r="E164" s="12">
        <f>Kriteeristö!H164</f>
        <v>0</v>
      </c>
      <c r="F164" s="34" t="str">
        <f>Kriteeristö!L164</f>
        <v>Varmuuskopiointi -TL IV</v>
      </c>
      <c r="G164" s="49">
        <v>0</v>
      </c>
      <c r="H164" s="49">
        <v>2</v>
      </c>
      <c r="I164" s="49">
        <v>1</v>
      </c>
      <c r="J164" s="49">
        <v>0</v>
      </c>
      <c r="K164" s="49">
        <v>0</v>
      </c>
      <c r="L164" s="49">
        <v>0</v>
      </c>
      <c r="M164" s="49">
        <v>0</v>
      </c>
      <c r="N164" s="49">
        <v>0</v>
      </c>
      <c r="O164" s="49">
        <v>0</v>
      </c>
      <c r="P164" s="49">
        <v>0</v>
      </c>
    </row>
    <row r="165" spans="1:16" ht="26.1">
      <c r="A165" s="13" t="str">
        <f>Kriteeristö!C165</f>
        <v>TEK-20.2</v>
      </c>
      <c r="B165" s="12" t="str">
        <f>Kriteeristö!E165</f>
        <v>TL III</v>
      </c>
      <c r="C165" s="12">
        <f>Kriteeristö!F165</f>
        <v>0</v>
      </c>
      <c r="D165" s="12">
        <f>Kriteeristö!G165</f>
        <v>0</v>
      </c>
      <c r="E165" s="12">
        <f>Kriteeristö!H165</f>
        <v>0</v>
      </c>
      <c r="F165" s="34" t="str">
        <f>Kriteeristö!L165</f>
        <v>Varmuuskopiointi - varmuuskopioiden rekisteröinti ja käsittelyn seuranta</v>
      </c>
      <c r="G165" s="49">
        <v>0</v>
      </c>
      <c r="H165" s="49">
        <v>2</v>
      </c>
      <c r="I165" s="49">
        <v>1</v>
      </c>
      <c r="J165" s="49">
        <v>0</v>
      </c>
      <c r="K165" s="49">
        <v>0</v>
      </c>
      <c r="L165" s="49">
        <v>0</v>
      </c>
      <c r="M165" s="49">
        <v>0</v>
      </c>
      <c r="N165" s="49">
        <v>0</v>
      </c>
      <c r="O165" s="49">
        <v>0</v>
      </c>
      <c r="P165" s="49">
        <v>0</v>
      </c>
    </row>
    <row r="166" spans="1:16" ht="12.95">
      <c r="A166" s="13" t="str">
        <f>Kriteeristö!C166</f>
        <v>TEK-21</v>
      </c>
      <c r="B166" s="12" t="str">
        <f>Kriteeristö!E166</f>
        <v>Salassa pidettävä</v>
      </c>
      <c r="C166" s="12">
        <f>Kriteeristö!F166</f>
        <v>0</v>
      </c>
      <c r="D166" s="12">
        <f>Kriteeristö!G166</f>
        <v>0</v>
      </c>
      <c r="E166" s="12" t="str">
        <f>Kriteeristö!H166</f>
        <v>Erityinen henkilötietoryhmä</v>
      </c>
      <c r="F166" s="34" t="str">
        <f>Kriteeristö!L166</f>
        <v>Sähköisessä muodossa olevien tietojen tuhoaminen</v>
      </c>
      <c r="G166" s="49">
        <v>1</v>
      </c>
      <c r="H166" s="49">
        <v>1</v>
      </c>
      <c r="I166" s="49">
        <v>1</v>
      </c>
      <c r="J166" s="49">
        <v>0</v>
      </c>
      <c r="K166" s="49">
        <v>0</v>
      </c>
      <c r="L166" s="49">
        <v>0</v>
      </c>
      <c r="M166" s="49">
        <v>0</v>
      </c>
      <c r="N166" s="49">
        <v>0</v>
      </c>
      <c r="O166" s="49">
        <v>0</v>
      </c>
      <c r="P166" s="49">
        <v>0</v>
      </c>
    </row>
    <row r="167" spans="1:16" ht="12.95">
      <c r="A167" s="13" t="str">
        <f>Kriteeristö!C167</f>
        <v>TEK-21.1</v>
      </c>
      <c r="B167" s="12" t="str">
        <f>Kriteeristö!E167</f>
        <v>Julkinen</v>
      </c>
      <c r="C167" s="12" t="str">
        <f>Kriteeristö!F167</f>
        <v>Vähäinen</v>
      </c>
      <c r="D167" s="12" t="str">
        <f>Kriteeristö!G167</f>
        <v>Vähäinen</v>
      </c>
      <c r="E167" s="12" t="str">
        <f>Kriteeristö!H167</f>
        <v>Henkilötieto</v>
      </c>
      <c r="F167" s="34" t="str">
        <f>Kriteeristö!L167</f>
        <v>Sähköisessä muodossa olevien tietojen tuhoaminen - arkistointi</v>
      </c>
      <c r="G167" s="49">
        <v>2</v>
      </c>
      <c r="H167" s="49">
        <v>1</v>
      </c>
      <c r="I167" s="49">
        <v>1</v>
      </c>
      <c r="J167" s="49">
        <v>0</v>
      </c>
      <c r="K167" s="49">
        <v>0</v>
      </c>
      <c r="L167" s="49">
        <v>0</v>
      </c>
      <c r="M167" s="49">
        <v>0</v>
      </c>
      <c r="N167" s="49">
        <v>0</v>
      </c>
      <c r="O167" s="49">
        <v>0</v>
      </c>
      <c r="P167" s="49">
        <v>0</v>
      </c>
    </row>
    <row r="168" spans="1:16" ht="26.1">
      <c r="A168" s="13" t="str">
        <f>Kriteeristö!C168</f>
        <v>TEK-21.2</v>
      </c>
      <c r="B168" s="12" t="str">
        <f>Kriteeristö!E168</f>
        <v>Salassa pidettävä</v>
      </c>
      <c r="C168" s="12">
        <f>Kriteeristö!F168</f>
        <v>0</v>
      </c>
      <c r="D168" s="12">
        <f>Kriteeristö!G168</f>
        <v>0</v>
      </c>
      <c r="E168" s="12" t="str">
        <f>Kriteeristö!H168</f>
        <v>Henkilötieto</v>
      </c>
      <c r="F168" s="34" t="str">
        <f>Kriteeristö!L168</f>
        <v>Sähköisessä muodossa olevien tietojen tuhoaminen - pilvipalveluissa olevan tiedon tuhoaminen</v>
      </c>
      <c r="G168" s="49">
        <v>1</v>
      </c>
      <c r="H168" s="49">
        <v>1</v>
      </c>
      <c r="I168" s="49">
        <v>1</v>
      </c>
      <c r="J168" s="49">
        <v>0</v>
      </c>
      <c r="K168" s="49">
        <v>0</v>
      </c>
      <c r="L168" s="49">
        <v>0</v>
      </c>
      <c r="M168" s="49">
        <v>0</v>
      </c>
      <c r="N168" s="49">
        <v>0</v>
      </c>
      <c r="O168" s="49">
        <v>0</v>
      </c>
      <c r="P168" s="49">
        <v>0</v>
      </c>
    </row>
    <row r="169" spans="1:16" ht="12.95">
      <c r="A169" s="13" t="str">
        <f>Kriteeristö!C169</f>
        <v>TEK-21.3</v>
      </c>
      <c r="B169" s="12" t="str">
        <f>Kriteeristö!E169</f>
        <v>TL IV</v>
      </c>
      <c r="C169" s="12">
        <f>Kriteeristö!F169</f>
        <v>0</v>
      </c>
      <c r="D169" s="12">
        <f>Kriteeristö!G169</f>
        <v>0</v>
      </c>
      <c r="E169" s="12">
        <f>Kriteeristö!H169</f>
        <v>0</v>
      </c>
      <c r="F169" s="34" t="str">
        <f>Kriteeristö!L169</f>
        <v>Sähköisessä muodossa olevien tietojen tuhoaminen - TL IV</v>
      </c>
      <c r="G169" s="49">
        <v>0</v>
      </c>
      <c r="H169" s="49">
        <v>2</v>
      </c>
      <c r="I169" s="49">
        <v>1</v>
      </c>
      <c r="J169" s="49">
        <v>0</v>
      </c>
      <c r="K169" s="49">
        <v>0</v>
      </c>
      <c r="L169" s="49">
        <v>0</v>
      </c>
      <c r="M169" s="49">
        <v>0</v>
      </c>
      <c r="N169" s="49">
        <v>0</v>
      </c>
      <c r="O169" s="49">
        <v>0</v>
      </c>
      <c r="P169" s="49">
        <v>0</v>
      </c>
    </row>
    <row r="170" spans="1:16" ht="26.1">
      <c r="A170" s="13" t="str">
        <f>Kriteeristö!C170</f>
        <v>TEK-21.4</v>
      </c>
      <c r="B170" s="12" t="str">
        <f>Kriteeristö!E170</f>
        <v>TL II</v>
      </c>
      <c r="C170" s="12">
        <f>Kriteeristö!F170</f>
        <v>0</v>
      </c>
      <c r="D170" s="12">
        <f>Kriteeristö!G170</f>
        <v>0</v>
      </c>
      <c r="E170" s="12">
        <f>Kriteeristö!H170</f>
        <v>0</v>
      </c>
      <c r="F170" s="34" t="str">
        <f>Kriteeristö!L170</f>
        <v>Sähköisessä muodossa olevien tietojen tuhoaminen - toisen viranomaisen laatimat tiedot</v>
      </c>
      <c r="G170" s="49">
        <v>0</v>
      </c>
      <c r="H170" s="49">
        <v>2</v>
      </c>
      <c r="I170" s="49">
        <v>1</v>
      </c>
      <c r="J170" s="49">
        <v>0</v>
      </c>
      <c r="K170" s="49">
        <v>0</v>
      </c>
      <c r="L170" s="49">
        <v>0</v>
      </c>
      <c r="M170" s="49">
        <v>0</v>
      </c>
      <c r="N170" s="49">
        <v>0</v>
      </c>
      <c r="O170" s="49">
        <v>0</v>
      </c>
      <c r="P170" s="49">
        <v>0</v>
      </c>
    </row>
    <row r="171" spans="1:16" ht="26.1">
      <c r="A171" s="13" t="str">
        <f>Kriteeristö!C171</f>
        <v>TEK-21.5</v>
      </c>
      <c r="B171" s="12" t="str">
        <f>Kriteeristö!E171</f>
        <v>TL II</v>
      </c>
      <c r="C171" s="12">
        <f>Kriteeristö!F171</f>
        <v>0</v>
      </c>
      <c r="D171" s="12">
        <f>Kriteeristö!G171</f>
        <v>0</v>
      </c>
      <c r="E171" s="12">
        <f>Kriteeristö!H171</f>
        <v>0</v>
      </c>
      <c r="F171" s="34" t="str">
        <f>Kriteeristö!L171</f>
        <v>Sähköisessä muodossa olevien tietojen tuhoaminen - tuhoamisen suorittaja</v>
      </c>
      <c r="G171" s="49">
        <v>0</v>
      </c>
      <c r="H171" s="49">
        <v>2</v>
      </c>
      <c r="I171" s="49">
        <v>1</v>
      </c>
      <c r="J171" s="49">
        <v>0</v>
      </c>
      <c r="K171" s="49">
        <v>0</v>
      </c>
      <c r="L171" s="49">
        <v>0</v>
      </c>
      <c r="M171" s="49">
        <v>0</v>
      </c>
      <c r="N171" s="49">
        <v>0</v>
      </c>
      <c r="O171" s="49">
        <v>0</v>
      </c>
      <c r="P171" s="49">
        <v>0</v>
      </c>
    </row>
    <row r="172" spans="1:16" ht="12.95">
      <c r="A172" s="13" t="str">
        <f>Kriteeristö!C172</f>
        <v>TEK-21.6</v>
      </c>
      <c r="B172" s="12" t="str">
        <f>Kriteeristö!E172</f>
        <v>TL I</v>
      </c>
      <c r="C172" s="12">
        <f>Kriteeristö!F172</f>
        <v>0</v>
      </c>
      <c r="D172" s="12">
        <f>Kriteeristö!G172</f>
        <v>0</v>
      </c>
      <c r="E172" s="12">
        <f>Kriteeristö!H172</f>
        <v>0</v>
      </c>
      <c r="F172" s="34" t="str">
        <f>Kriteeristö!L172</f>
        <v>Sähköisessä muodossa olevien tietojen tuhoaminen - TL I</v>
      </c>
      <c r="G172" s="49">
        <v>0</v>
      </c>
      <c r="H172" s="49">
        <v>0</v>
      </c>
      <c r="I172" s="49">
        <v>1</v>
      </c>
      <c r="J172" s="49">
        <v>0</v>
      </c>
      <c r="K172" s="49">
        <v>0</v>
      </c>
      <c r="L172" s="49">
        <v>0</v>
      </c>
      <c r="M172" s="49">
        <v>0</v>
      </c>
      <c r="N172" s="49">
        <v>0</v>
      </c>
      <c r="O172" s="49">
        <v>0</v>
      </c>
      <c r="P172" s="49">
        <v>0</v>
      </c>
    </row>
    <row r="173" spans="1:16" ht="12.95">
      <c r="A173" s="13" t="str">
        <f>Kriteeristö!C173</f>
        <v>TEK-22</v>
      </c>
      <c r="B173" s="12">
        <f>Kriteeristö!E173</f>
        <v>0</v>
      </c>
      <c r="C173" s="12">
        <f>Kriteeristö!F173</f>
        <v>0</v>
      </c>
      <c r="D173" s="12" t="str">
        <f>Kriteeristö!G173</f>
        <v>Normaali</v>
      </c>
      <c r="E173" s="12">
        <f>Kriteeristö!H173</f>
        <v>0</v>
      </c>
      <c r="F173" s="34" t="str">
        <f>Kriteeristö!L173</f>
        <v>Tietojärjestelmien saatavuus</v>
      </c>
      <c r="G173" s="49">
        <v>1</v>
      </c>
      <c r="H173" s="49">
        <v>2</v>
      </c>
      <c r="I173" s="49">
        <v>1</v>
      </c>
      <c r="J173" s="49">
        <v>0</v>
      </c>
      <c r="K173" s="49">
        <v>0</v>
      </c>
      <c r="L173" s="49">
        <v>0</v>
      </c>
      <c r="M173" s="49">
        <v>0</v>
      </c>
      <c r="N173" s="49">
        <v>0</v>
      </c>
      <c r="O173" s="49">
        <v>0</v>
      </c>
      <c r="P173" s="49">
        <v>0</v>
      </c>
    </row>
    <row r="174" spans="1:16" ht="12.95">
      <c r="A174" s="13" t="str">
        <f>Kriteeristö!C174</f>
        <v>TEK-22.1</v>
      </c>
      <c r="B174" s="12">
        <f>Kriteeristö!E174</f>
        <v>0</v>
      </c>
      <c r="C174" s="12">
        <f>Kriteeristö!F174</f>
        <v>0</v>
      </c>
      <c r="D174" s="12" t="str">
        <f>Kriteeristö!G174</f>
        <v>Normaali</v>
      </c>
      <c r="E174" s="12">
        <f>Kriteeristö!H174</f>
        <v>0</v>
      </c>
      <c r="F174" s="34" t="str">
        <f>Kriteeristö!L174</f>
        <v>Tietojärjestelmien saatavuus - saatavuutta suojaavat menettelyt</v>
      </c>
      <c r="G174" s="49">
        <v>1</v>
      </c>
      <c r="H174" s="49">
        <v>0</v>
      </c>
      <c r="I174" s="49">
        <v>1</v>
      </c>
      <c r="J174" s="49">
        <v>0</v>
      </c>
      <c r="K174" s="49">
        <v>0</v>
      </c>
      <c r="L174" s="49">
        <v>0</v>
      </c>
      <c r="M174" s="49">
        <v>0</v>
      </c>
      <c r="N174" s="49">
        <v>0</v>
      </c>
      <c r="O174" s="49">
        <v>0</v>
      </c>
      <c r="P174" s="49">
        <v>0</v>
      </c>
    </row>
    <row r="175" spans="1:16" ht="12.95">
      <c r="A175" s="13" t="str">
        <f>Kriteeristö!C175</f>
        <v>TEK-22.2</v>
      </c>
      <c r="B175" s="12">
        <f>Kriteeristö!E175</f>
        <v>0</v>
      </c>
      <c r="C175" s="12">
        <f>Kriteeristö!F175</f>
        <v>0</v>
      </c>
      <c r="D175" s="12" t="str">
        <f>Kriteeristö!G175</f>
        <v>Normaali</v>
      </c>
      <c r="E175" s="12">
        <f>Kriteeristö!H175</f>
        <v>0</v>
      </c>
      <c r="F175" s="34" t="str">
        <f>Kriteeristö!L175</f>
        <v>Tietojärjestelmien saatavuus - palveluiden valvonta</v>
      </c>
      <c r="G175" s="49">
        <v>1</v>
      </c>
      <c r="H175" s="49">
        <v>0</v>
      </c>
      <c r="I175" s="49">
        <v>1</v>
      </c>
      <c r="J175" s="49">
        <v>0</v>
      </c>
      <c r="K175" s="49">
        <v>0</v>
      </c>
      <c r="L175" s="49">
        <v>0</v>
      </c>
      <c r="M175" s="49">
        <v>0</v>
      </c>
      <c r="N175" s="49">
        <v>0</v>
      </c>
      <c r="O175" s="49">
        <v>0</v>
      </c>
      <c r="P175" s="49">
        <v>0</v>
      </c>
    </row>
    <row r="176" spans="1:16" ht="12.95">
      <c r="A176" s="13" t="str">
        <f>Kriteeristö!C176</f>
        <v>TEK-23</v>
      </c>
      <c r="B176" s="12">
        <f>Kriteeristö!E176</f>
        <v>0</v>
      </c>
      <c r="C176" s="12" t="str">
        <f>Kriteeristö!F176</f>
        <v>Tärkeä</v>
      </c>
      <c r="D176" s="12" t="str">
        <f>Kriteeristö!G176</f>
        <v>Tärkeä</v>
      </c>
      <c r="E176" s="12">
        <f>Kriteeristö!H176</f>
        <v>0</v>
      </c>
      <c r="F176" s="34" t="str">
        <f>Kriteeristö!L176</f>
        <v>Tietojärjestelmien toiminnallinen käytettävyys</v>
      </c>
      <c r="G176" s="49">
        <v>1</v>
      </c>
      <c r="H176" s="49">
        <v>0</v>
      </c>
      <c r="I176" s="49">
        <v>1</v>
      </c>
      <c r="J176" s="49">
        <v>0</v>
      </c>
      <c r="K176" s="49">
        <v>0</v>
      </c>
      <c r="L176" s="49">
        <v>0</v>
      </c>
      <c r="M176" s="49">
        <v>0</v>
      </c>
      <c r="N176" s="49">
        <v>0</v>
      </c>
      <c r="O176" s="49">
        <v>0</v>
      </c>
      <c r="P176" s="49">
        <v>0</v>
      </c>
    </row>
    <row r="177" spans="1:16" ht="12.95">
      <c r="A177" s="13" t="str">
        <f>Kriteeristö!C177</f>
        <v>VAR-01</v>
      </c>
      <c r="B177" s="12" t="str">
        <f>Kriteeristö!E177</f>
        <v>Julkinen</v>
      </c>
      <c r="C177" s="12" t="str">
        <f>Kriteeristö!F177</f>
        <v>Vähäinen</v>
      </c>
      <c r="D177" s="12" t="str">
        <f>Kriteeristö!G177</f>
        <v>Vähäinen</v>
      </c>
      <c r="E177" s="12" t="str">
        <f>Kriteeristö!H177</f>
        <v>Henkilötieto</v>
      </c>
      <c r="F177" s="34" t="str">
        <f>Kriteeristö!L177</f>
        <v>Varautumista ohjaava lainsäädäntö</v>
      </c>
      <c r="G177" s="49">
        <v>0</v>
      </c>
      <c r="H177" s="49">
        <v>0</v>
      </c>
      <c r="I177" s="49">
        <v>2</v>
      </c>
      <c r="J177" s="49">
        <v>0</v>
      </c>
      <c r="K177" s="49">
        <v>0</v>
      </c>
      <c r="L177" s="49">
        <v>0</v>
      </c>
      <c r="M177" s="49">
        <v>0</v>
      </c>
      <c r="N177" s="49">
        <v>0</v>
      </c>
      <c r="O177" s="49">
        <v>0</v>
      </c>
      <c r="P177" s="49">
        <v>0</v>
      </c>
    </row>
    <row r="178" spans="1:16" ht="12.95">
      <c r="A178" s="13" t="str">
        <f>Kriteeristö!C178</f>
        <v>VAR-02</v>
      </c>
      <c r="B178" s="12" t="str">
        <f>Kriteeristö!E178</f>
        <v>Julkinen</v>
      </c>
      <c r="C178" s="12" t="str">
        <f>Kriteeristö!F178</f>
        <v>Vähäinen</v>
      </c>
      <c r="D178" s="12" t="str">
        <f>Kriteeristö!G178</f>
        <v>Vähäinen</v>
      </c>
      <c r="E178" s="12" t="str">
        <f>Kriteeristö!H178</f>
        <v>Henkilötieto</v>
      </c>
      <c r="F178" s="34" t="str">
        <f>Kriteeristö!L178</f>
        <v>Jatkuvuusvaatimusten määrittely</v>
      </c>
      <c r="G178" s="49">
        <v>1</v>
      </c>
      <c r="H178" s="49">
        <v>0</v>
      </c>
      <c r="I178" s="49">
        <v>2</v>
      </c>
      <c r="J178" s="49">
        <v>0</v>
      </c>
      <c r="K178" s="49">
        <v>0</v>
      </c>
      <c r="L178" s="49">
        <v>0</v>
      </c>
      <c r="M178" s="49">
        <v>0</v>
      </c>
      <c r="N178" s="49">
        <v>0</v>
      </c>
      <c r="O178" s="49">
        <v>0</v>
      </c>
      <c r="P178" s="49">
        <v>0</v>
      </c>
    </row>
    <row r="179" spans="1:16" ht="12.95">
      <c r="A179" s="13" t="str">
        <f>Kriteeristö!C179</f>
        <v>VAR-02.1</v>
      </c>
      <c r="B179" s="12" t="str">
        <f>Kriteeristö!E179</f>
        <v>Julkinen</v>
      </c>
      <c r="C179" s="12" t="str">
        <f>Kriteeristö!F179</f>
        <v>Vähäinen</v>
      </c>
      <c r="D179" s="12" t="str">
        <f>Kriteeristö!G179</f>
        <v>Vähäinen</v>
      </c>
      <c r="E179" s="12" t="str">
        <f>Kriteeristö!H179</f>
        <v>Henkilötieto</v>
      </c>
      <c r="F179" s="34" t="str">
        <f>Kriteeristö!L179</f>
        <v>Jatkuvuusvaatimusten määrittely - palveluiden siirrot</v>
      </c>
      <c r="G179" s="49">
        <v>1</v>
      </c>
      <c r="H179" s="49">
        <v>0</v>
      </c>
      <c r="I179" s="49">
        <v>2</v>
      </c>
      <c r="J179" s="49">
        <v>0</v>
      </c>
      <c r="K179" s="49">
        <v>0</v>
      </c>
      <c r="L179" s="49">
        <v>0</v>
      </c>
      <c r="M179" s="49">
        <v>0</v>
      </c>
      <c r="N179" s="49">
        <v>0</v>
      </c>
      <c r="O179" s="49">
        <v>0</v>
      </c>
      <c r="P179" s="49">
        <v>0</v>
      </c>
    </row>
    <row r="180" spans="1:16" ht="12.95">
      <c r="A180" s="13" t="str">
        <f>Kriteeristö!C180</f>
        <v>VAR-03</v>
      </c>
      <c r="B180" s="12">
        <f>Kriteeristö!E180</f>
        <v>0</v>
      </c>
      <c r="C180" s="12">
        <f>Kriteeristö!F180</f>
        <v>0</v>
      </c>
      <c r="D180" s="12" t="str">
        <f>Kriteeristö!G180</f>
        <v>Tärkeä</v>
      </c>
      <c r="E180" s="12">
        <f>Kriteeristö!H180</f>
        <v>0</v>
      </c>
      <c r="F180" s="34" t="str">
        <f>Kriteeristö!L180</f>
        <v>Jatkuvuussuunnitelmat</v>
      </c>
      <c r="G180" s="49">
        <v>2</v>
      </c>
      <c r="H180" s="49">
        <v>0</v>
      </c>
      <c r="I180" s="49">
        <v>0</v>
      </c>
      <c r="J180" s="49">
        <v>0</v>
      </c>
      <c r="K180" s="49">
        <v>0</v>
      </c>
      <c r="L180" s="49">
        <v>0</v>
      </c>
      <c r="M180" s="49">
        <v>0</v>
      </c>
      <c r="N180" s="49">
        <v>0</v>
      </c>
      <c r="O180" s="49">
        <v>0</v>
      </c>
      <c r="P180" s="49">
        <v>0</v>
      </c>
    </row>
    <row r="181" spans="1:16" ht="12.95">
      <c r="A181" s="13" t="str">
        <f>Kriteeristö!C181</f>
        <v>VAR-03.1</v>
      </c>
      <c r="B181" s="12">
        <f>Kriteeristö!E181</f>
        <v>0</v>
      </c>
      <c r="C181" s="12">
        <f>Kriteeristö!F181</f>
        <v>0</v>
      </c>
      <c r="D181" s="12" t="str">
        <f>Kriteeristö!G181</f>
        <v>Tärkeä</v>
      </c>
      <c r="E181" s="12">
        <f>Kriteeristö!H181</f>
        <v>0</v>
      </c>
      <c r="F181" s="34" t="str">
        <f>Kriteeristö!L181</f>
        <v>Jatkuvuussuunnitelmien testaus ja harjoittelu</v>
      </c>
      <c r="G181" s="49">
        <v>2</v>
      </c>
      <c r="H181" s="49">
        <v>0</v>
      </c>
      <c r="I181" s="49">
        <v>0</v>
      </c>
      <c r="J181" s="49">
        <v>0</v>
      </c>
      <c r="K181" s="49">
        <v>0</v>
      </c>
      <c r="L181" s="49">
        <v>0</v>
      </c>
      <c r="M181" s="49">
        <v>0</v>
      </c>
      <c r="N181" s="49">
        <v>0</v>
      </c>
      <c r="O181" s="49">
        <v>0</v>
      </c>
      <c r="P181" s="49">
        <v>0</v>
      </c>
    </row>
    <row r="182" spans="1:16" ht="12.95">
      <c r="A182" s="13" t="str">
        <f>Kriteeristö!C182</f>
        <v>VAR-04</v>
      </c>
      <c r="B182" s="12">
        <f>Kriteeristö!E182</f>
        <v>0</v>
      </c>
      <c r="C182" s="12">
        <f>Kriteeristö!F182</f>
        <v>0</v>
      </c>
      <c r="D182" s="12" t="str">
        <f>Kriteeristö!G182</f>
        <v>Tärkeä</v>
      </c>
      <c r="E182" s="12">
        <f>Kriteeristö!H182</f>
        <v>0</v>
      </c>
      <c r="F182" s="34" t="str">
        <f>Kriteeristö!L182</f>
        <v>Resurssit ja osaaminen</v>
      </c>
      <c r="G182" s="49">
        <v>0</v>
      </c>
      <c r="H182" s="49">
        <v>0</v>
      </c>
      <c r="I182" s="49">
        <v>1</v>
      </c>
      <c r="J182" s="49">
        <v>0</v>
      </c>
      <c r="K182" s="49">
        <v>0</v>
      </c>
      <c r="L182" s="49">
        <v>0</v>
      </c>
      <c r="M182" s="49">
        <v>0</v>
      </c>
      <c r="N182" s="49">
        <v>0</v>
      </c>
      <c r="O182" s="49">
        <v>0</v>
      </c>
      <c r="P182" s="49">
        <v>0</v>
      </c>
    </row>
    <row r="183" spans="1:16" ht="12.95">
      <c r="A183" s="13" t="str">
        <f>Kriteeristö!C183</f>
        <v>VAR-05</v>
      </c>
      <c r="B183" s="12">
        <f>Kriteeristö!E183</f>
        <v>0</v>
      </c>
      <c r="C183" s="12">
        <f>Kriteeristö!F183</f>
        <v>0</v>
      </c>
      <c r="D183" s="12" t="str">
        <f>Kriteeristö!G183</f>
        <v>Tärkeä</v>
      </c>
      <c r="E183" s="12">
        <f>Kriteeristö!H183</f>
        <v>0</v>
      </c>
      <c r="F183" s="34" t="str">
        <f>Kriteeristö!L183</f>
        <v>Henkilöstön saatavuus ja varajärjestelyt</v>
      </c>
      <c r="G183" s="49">
        <v>0</v>
      </c>
      <c r="H183" s="49">
        <v>0</v>
      </c>
      <c r="I183" s="49">
        <v>2</v>
      </c>
      <c r="J183" s="49">
        <v>0</v>
      </c>
      <c r="K183" s="49">
        <v>0</v>
      </c>
      <c r="L183" s="49">
        <v>0</v>
      </c>
      <c r="M183" s="49">
        <v>0</v>
      </c>
      <c r="N183" s="49">
        <v>0</v>
      </c>
      <c r="O183" s="49">
        <v>0</v>
      </c>
      <c r="P183" s="49">
        <v>0</v>
      </c>
    </row>
    <row r="184" spans="1:16" ht="12.95">
      <c r="A184" s="13" t="str">
        <f>Kriteeristö!C184</f>
        <v>VAR-06</v>
      </c>
      <c r="B184" s="12">
        <f>Kriteeristö!E184</f>
        <v>0</v>
      </c>
      <c r="C184" s="12">
        <f>Kriteeristö!F184</f>
        <v>0</v>
      </c>
      <c r="D184" s="12" t="str">
        <f>Kriteeristö!G184</f>
        <v>Tärkeä</v>
      </c>
      <c r="E184" s="12">
        <f>Kriteeristö!H184</f>
        <v>0</v>
      </c>
      <c r="F184" s="34" t="str">
        <f>Kriteeristö!L184</f>
        <v>Tietoliikenteen varmistaminen</v>
      </c>
      <c r="G184" s="49">
        <v>0</v>
      </c>
      <c r="H184" s="49">
        <v>0</v>
      </c>
      <c r="I184" s="49">
        <v>1</v>
      </c>
      <c r="J184" s="49">
        <v>0</v>
      </c>
      <c r="K184" s="49">
        <v>0</v>
      </c>
      <c r="L184" s="49">
        <v>0</v>
      </c>
      <c r="M184" s="49">
        <v>0</v>
      </c>
      <c r="N184" s="49">
        <v>0</v>
      </c>
      <c r="O184" s="49">
        <v>0</v>
      </c>
      <c r="P184" s="49">
        <v>0</v>
      </c>
    </row>
    <row r="185" spans="1:16" ht="12.95">
      <c r="A185" s="13" t="str">
        <f>Kriteeristö!C185</f>
        <v>VAR-07</v>
      </c>
      <c r="B185" s="12">
        <f>Kriteeristö!E185</f>
        <v>0</v>
      </c>
      <c r="C185" s="12">
        <f>Kriteeristö!F185</f>
        <v>0</v>
      </c>
      <c r="D185" s="12" t="str">
        <f>Kriteeristö!G185</f>
        <v>Tärkeä</v>
      </c>
      <c r="E185" s="12">
        <f>Kriteeristö!H185</f>
        <v>0</v>
      </c>
      <c r="F185" s="34" t="str">
        <f>Kriteeristö!L185</f>
        <v>Tietoteknisten ympäristöjen varmentaminen</v>
      </c>
      <c r="G185" s="49">
        <v>0</v>
      </c>
      <c r="H185" s="49">
        <v>0</v>
      </c>
      <c r="I185" s="49">
        <v>1</v>
      </c>
      <c r="J185" s="49">
        <v>0</v>
      </c>
      <c r="K185" s="49">
        <v>0</v>
      </c>
      <c r="L185" s="49">
        <v>0</v>
      </c>
      <c r="M185" s="49">
        <v>0</v>
      </c>
      <c r="N185" s="49">
        <v>0</v>
      </c>
      <c r="O185" s="49">
        <v>0</v>
      </c>
      <c r="P185" s="49">
        <v>0</v>
      </c>
    </row>
    <row r="186" spans="1:16" ht="12.95">
      <c r="A186" s="13" t="str">
        <f>Kriteeristö!C186</f>
        <v>VAR-08</v>
      </c>
      <c r="B186" s="12">
        <f>Kriteeristö!E186</f>
        <v>0</v>
      </c>
      <c r="C186" s="12">
        <f>Kriteeristö!F186</f>
        <v>0</v>
      </c>
      <c r="D186" s="12" t="str">
        <f>Kriteeristö!G186</f>
        <v>Kriittinen</v>
      </c>
      <c r="E186" s="12">
        <f>Kriteeristö!H186</f>
        <v>0</v>
      </c>
      <c r="F186" s="34" t="str">
        <f>Kriteeristö!L186</f>
        <v>Vikasietoisuus</v>
      </c>
      <c r="G186" s="49">
        <v>1</v>
      </c>
      <c r="H186" s="49">
        <v>0</v>
      </c>
      <c r="I186" s="49">
        <v>1</v>
      </c>
      <c r="J186" s="49">
        <v>0</v>
      </c>
      <c r="K186" s="49">
        <v>0</v>
      </c>
      <c r="L186" s="49">
        <v>0</v>
      </c>
      <c r="M186" s="49">
        <v>0</v>
      </c>
      <c r="N186" s="49">
        <v>0</v>
      </c>
      <c r="O186" s="49">
        <v>0</v>
      </c>
      <c r="P186" s="49">
        <v>0</v>
      </c>
    </row>
    <row r="187" spans="1:16" ht="12.95">
      <c r="A187" s="13" t="str">
        <f>Kriteeristö!C187</f>
        <v>VAR-08.1</v>
      </c>
      <c r="B187" s="12">
        <f>Kriteeristö!E187</f>
        <v>0</v>
      </c>
      <c r="C187" s="12">
        <f>Kriteeristö!F187</f>
        <v>0</v>
      </c>
      <c r="D187" s="12" t="str">
        <f>Kriteeristö!G187</f>
        <v>Kriittinen</v>
      </c>
      <c r="E187" s="12">
        <f>Kriteeristö!H187</f>
        <v>0</v>
      </c>
      <c r="F187" s="34" t="str">
        <f>Kriteeristö!L187</f>
        <v>Vikasietoisuus - riippuvuudet</v>
      </c>
      <c r="G187" s="49">
        <v>1</v>
      </c>
      <c r="H187" s="49">
        <v>0</v>
      </c>
      <c r="I187" s="49">
        <v>1</v>
      </c>
      <c r="J187" s="49">
        <v>0</v>
      </c>
      <c r="K187" s="49">
        <v>0</v>
      </c>
      <c r="L187" s="49">
        <v>0</v>
      </c>
      <c r="M187" s="49">
        <v>0</v>
      </c>
      <c r="N187" s="49">
        <v>0</v>
      </c>
      <c r="O187" s="49">
        <v>0</v>
      </c>
      <c r="P187" s="49">
        <v>0</v>
      </c>
    </row>
    <row r="188" spans="1:16" ht="12.95">
      <c r="A188" s="13" t="str">
        <f>Kriteeristö!C188</f>
        <v>VAR-09</v>
      </c>
      <c r="B188" s="12">
        <f>Kriteeristö!E188</f>
        <v>0</v>
      </c>
      <c r="C188" s="12">
        <f>Kriteeristö!F188</f>
        <v>0</v>
      </c>
      <c r="D188" s="12" t="str">
        <f>Kriteeristö!G188</f>
        <v>Tärkeä</v>
      </c>
      <c r="E188" s="12">
        <f>Kriteeristö!H188</f>
        <v>0</v>
      </c>
      <c r="F188" s="34" t="str">
        <f>Kriteeristö!L188</f>
        <v>Tietojärjestelmien toipumissuunnitelmat</v>
      </c>
      <c r="G188" s="49">
        <v>1</v>
      </c>
      <c r="H188" s="49">
        <v>0</v>
      </c>
      <c r="I188" s="49">
        <v>1</v>
      </c>
      <c r="J188" s="49">
        <v>0</v>
      </c>
      <c r="K188" s="49">
        <v>0</v>
      </c>
      <c r="L188" s="49">
        <v>0</v>
      </c>
      <c r="M188" s="49">
        <v>0</v>
      </c>
      <c r="N188" s="49">
        <v>0</v>
      </c>
      <c r="O188" s="49">
        <v>0</v>
      </c>
      <c r="P188" s="49">
        <v>0</v>
      </c>
    </row>
    <row r="189" spans="1:16" ht="12.95">
      <c r="A189" s="13">
        <f>Kriteeristö!C189</f>
        <v>0</v>
      </c>
      <c r="B189" s="12">
        <f>Kriteeristö!E189</f>
        <v>0</v>
      </c>
      <c r="C189" s="12">
        <f>Kriteeristö!F189</f>
        <v>0</v>
      </c>
      <c r="D189" s="12">
        <f>Kriteeristö!G189</f>
        <v>0</v>
      </c>
      <c r="E189" s="12">
        <f>Kriteeristö!H189</f>
        <v>0</v>
      </c>
      <c r="F189" s="34">
        <f>Kriteeristö!L189</f>
        <v>0</v>
      </c>
      <c r="G189" s="49">
        <v>1</v>
      </c>
      <c r="H189" s="49">
        <v>2</v>
      </c>
      <c r="I189" s="49">
        <v>2</v>
      </c>
      <c r="J189" s="49">
        <v>0</v>
      </c>
      <c r="K189" s="49">
        <v>0</v>
      </c>
      <c r="L189" s="49">
        <v>0</v>
      </c>
      <c r="M189" s="49">
        <v>0</v>
      </c>
      <c r="N189" s="49">
        <v>0</v>
      </c>
      <c r="O189" s="49">
        <v>0</v>
      </c>
      <c r="P189" s="49">
        <v>0</v>
      </c>
    </row>
    <row r="190" spans="1:16" ht="12.95">
      <c r="A190" s="13">
        <f>Kriteeristö!C190</f>
        <v>0</v>
      </c>
      <c r="B190" s="12">
        <f>Kriteeristö!E190</f>
        <v>0</v>
      </c>
      <c r="C190" s="12">
        <f>Kriteeristö!F190</f>
        <v>0</v>
      </c>
      <c r="D190" s="12">
        <f>Kriteeristö!G190</f>
        <v>0</v>
      </c>
      <c r="E190" s="12">
        <f>Kriteeristö!H190</f>
        <v>0</v>
      </c>
      <c r="F190" s="34">
        <f>Kriteeristö!L190</f>
        <v>0</v>
      </c>
      <c r="G190" s="49">
        <v>1</v>
      </c>
      <c r="H190" s="49">
        <v>2</v>
      </c>
      <c r="I190" s="49">
        <v>1</v>
      </c>
      <c r="J190" s="49">
        <v>0</v>
      </c>
      <c r="K190" s="49">
        <v>0</v>
      </c>
      <c r="L190" s="49">
        <v>0</v>
      </c>
      <c r="M190" s="49">
        <v>0</v>
      </c>
      <c r="N190" s="49">
        <v>0</v>
      </c>
      <c r="O190" s="49">
        <v>0</v>
      </c>
      <c r="P190" s="49">
        <v>0</v>
      </c>
    </row>
    <row r="191" spans="1:16" ht="12.95">
      <c r="A191" s="13">
        <f>Kriteeristö!C191</f>
        <v>0</v>
      </c>
      <c r="B191" s="12">
        <f>Kriteeristö!E191</f>
        <v>0</v>
      </c>
      <c r="C191" s="12">
        <f>Kriteeristö!F191</f>
        <v>0</v>
      </c>
      <c r="D191" s="12">
        <f>Kriteeristö!G191</f>
        <v>0</v>
      </c>
      <c r="E191" s="12">
        <f>Kriteeristö!H191</f>
        <v>0</v>
      </c>
      <c r="F191" s="34">
        <f>Kriteeristö!L191</f>
        <v>0</v>
      </c>
      <c r="G191" s="49">
        <v>1</v>
      </c>
      <c r="H191" s="49">
        <v>0</v>
      </c>
      <c r="I191" s="49">
        <v>2</v>
      </c>
      <c r="J191" s="49">
        <v>0</v>
      </c>
      <c r="K191" s="49">
        <v>0</v>
      </c>
      <c r="L191" s="49">
        <v>0</v>
      </c>
      <c r="M191" s="49">
        <v>0</v>
      </c>
      <c r="N191" s="49">
        <v>0</v>
      </c>
      <c r="O191" s="49">
        <v>0</v>
      </c>
      <c r="P191" s="49">
        <v>0</v>
      </c>
    </row>
    <row r="192" spans="1:16" ht="12.95">
      <c r="A192" s="13">
        <f>Kriteeristö!C192</f>
        <v>0</v>
      </c>
      <c r="B192" s="12">
        <f>Kriteeristö!E192</f>
        <v>0</v>
      </c>
      <c r="C192" s="12">
        <f>Kriteeristö!F192</f>
        <v>0</v>
      </c>
      <c r="D192" s="12">
        <f>Kriteeristö!G192</f>
        <v>0</v>
      </c>
      <c r="E192" s="12">
        <f>Kriteeristö!H192</f>
        <v>0</v>
      </c>
      <c r="F192" s="34">
        <f>Kriteeristö!L192</f>
        <v>0</v>
      </c>
      <c r="G192" s="49">
        <v>2</v>
      </c>
      <c r="H192" s="49">
        <v>2</v>
      </c>
      <c r="I192" s="49">
        <v>1</v>
      </c>
      <c r="J192" s="49">
        <v>0</v>
      </c>
      <c r="K192" s="49">
        <v>0</v>
      </c>
      <c r="L192" s="49">
        <v>0</v>
      </c>
      <c r="M192" s="49">
        <v>0</v>
      </c>
      <c r="N192" s="49">
        <v>0</v>
      </c>
      <c r="O192" s="49">
        <v>0</v>
      </c>
      <c r="P192" s="49">
        <v>0</v>
      </c>
    </row>
    <row r="193" spans="1:16" ht="12.95">
      <c r="A193" s="13">
        <f>Kriteeristö!C193</f>
        <v>0</v>
      </c>
      <c r="B193" s="12">
        <f>Kriteeristö!E193</f>
        <v>0</v>
      </c>
      <c r="C193" s="12">
        <f>Kriteeristö!F193</f>
        <v>0</v>
      </c>
      <c r="D193" s="12">
        <f>Kriteeristö!G193</f>
        <v>0</v>
      </c>
      <c r="E193" s="12">
        <f>Kriteeristö!H193</f>
        <v>0</v>
      </c>
      <c r="F193" s="34">
        <f>Kriteeristö!L193</f>
        <v>0</v>
      </c>
      <c r="G193" s="49">
        <v>1</v>
      </c>
      <c r="H193" s="49">
        <v>2</v>
      </c>
      <c r="I193" s="49">
        <v>2</v>
      </c>
      <c r="J193" s="49">
        <v>0</v>
      </c>
      <c r="K193" s="49">
        <v>0</v>
      </c>
      <c r="L193" s="49">
        <v>0</v>
      </c>
      <c r="M193" s="49">
        <v>0</v>
      </c>
      <c r="N193" s="49">
        <v>0</v>
      </c>
      <c r="O193" s="49">
        <v>0</v>
      </c>
      <c r="P193" s="49">
        <v>0</v>
      </c>
    </row>
    <row r="194" spans="1:16" ht="12.95">
      <c r="A194" s="13">
        <f>Kriteeristö!C194</f>
        <v>0</v>
      </c>
      <c r="B194" s="12">
        <f>Kriteeristö!E194</f>
        <v>0</v>
      </c>
      <c r="C194" s="12">
        <f>Kriteeristö!F194</f>
        <v>0</v>
      </c>
      <c r="D194" s="12">
        <f>Kriteeristö!G194</f>
        <v>0</v>
      </c>
      <c r="E194" s="12">
        <f>Kriteeristö!H194</f>
        <v>0</v>
      </c>
      <c r="F194" s="34">
        <f>Kriteeristö!L194</f>
        <v>0</v>
      </c>
      <c r="G194" s="49">
        <v>1</v>
      </c>
      <c r="H194" s="49">
        <v>0</v>
      </c>
      <c r="I194" s="49">
        <v>2</v>
      </c>
      <c r="J194" s="49">
        <v>0</v>
      </c>
      <c r="K194" s="49">
        <v>0</v>
      </c>
      <c r="L194" s="49">
        <v>0</v>
      </c>
      <c r="M194" s="49">
        <v>0</v>
      </c>
      <c r="N194" s="49">
        <v>0</v>
      </c>
      <c r="O194" s="49">
        <v>0</v>
      </c>
      <c r="P194" s="49">
        <v>0</v>
      </c>
    </row>
    <row r="195" spans="1:16" ht="12.95">
      <c r="A195" s="13">
        <f>Kriteeristö!C195</f>
        <v>0</v>
      </c>
      <c r="B195" s="12">
        <f>Kriteeristö!E195</f>
        <v>0</v>
      </c>
      <c r="C195" s="12">
        <f>Kriteeristö!F195</f>
        <v>0</v>
      </c>
      <c r="D195" s="12">
        <f>Kriteeristö!G195</f>
        <v>0</v>
      </c>
      <c r="E195" s="12">
        <f>Kriteeristö!H195</f>
        <v>0</v>
      </c>
      <c r="F195" s="34">
        <f>Kriteeristö!L195</f>
        <v>0</v>
      </c>
      <c r="G195" s="49">
        <v>1</v>
      </c>
      <c r="H195" s="49">
        <v>0</v>
      </c>
      <c r="I195" s="49">
        <v>2</v>
      </c>
      <c r="J195" s="49">
        <v>0</v>
      </c>
      <c r="K195" s="49">
        <v>0</v>
      </c>
      <c r="L195" s="49">
        <v>0</v>
      </c>
      <c r="M195" s="49">
        <v>0</v>
      </c>
      <c r="N195" s="49">
        <v>0</v>
      </c>
      <c r="O195" s="49">
        <v>0</v>
      </c>
      <c r="P195" s="49">
        <v>0</v>
      </c>
    </row>
    <row r="196" spans="1:16" ht="12.95">
      <c r="A196" s="13">
        <f>Kriteeristö!C196</f>
        <v>0</v>
      </c>
      <c r="B196" s="12">
        <f>Kriteeristö!E196</f>
        <v>0</v>
      </c>
      <c r="C196" s="12">
        <f>Kriteeristö!F196</f>
        <v>0</v>
      </c>
      <c r="D196" s="12">
        <f>Kriteeristö!G196</f>
        <v>0</v>
      </c>
      <c r="E196" s="12">
        <f>Kriteeristö!H196</f>
        <v>0</v>
      </c>
      <c r="F196" s="34">
        <f>Kriteeristö!L196</f>
        <v>0</v>
      </c>
      <c r="G196" s="49">
        <v>1</v>
      </c>
      <c r="H196" s="49">
        <v>0</v>
      </c>
      <c r="I196" s="49">
        <v>2</v>
      </c>
      <c r="J196" s="49">
        <v>0</v>
      </c>
      <c r="K196" s="49">
        <v>0</v>
      </c>
      <c r="L196" s="49">
        <v>0</v>
      </c>
      <c r="M196" s="49">
        <v>0</v>
      </c>
      <c r="N196" s="49">
        <v>0</v>
      </c>
      <c r="O196" s="49">
        <v>0</v>
      </c>
      <c r="P196" s="49">
        <v>0</v>
      </c>
    </row>
    <row r="197" spans="1:16" ht="12.95">
      <c r="A197" s="13">
        <f>Kriteeristö!C197</f>
        <v>0</v>
      </c>
      <c r="B197" s="12">
        <f>Kriteeristö!E197</f>
        <v>0</v>
      </c>
      <c r="C197" s="12">
        <f>Kriteeristö!F197</f>
        <v>0</v>
      </c>
      <c r="D197" s="12">
        <f>Kriteeristö!G197</f>
        <v>0</v>
      </c>
      <c r="E197" s="12">
        <f>Kriteeristö!H197</f>
        <v>0</v>
      </c>
      <c r="F197" s="34">
        <f>Kriteeristö!L197</f>
        <v>0</v>
      </c>
      <c r="G197" s="49">
        <v>1</v>
      </c>
      <c r="H197" s="49">
        <v>0</v>
      </c>
      <c r="I197" s="49">
        <v>1</v>
      </c>
      <c r="J197" s="49">
        <v>0</v>
      </c>
      <c r="K197" s="49">
        <v>0</v>
      </c>
      <c r="L197" s="49">
        <v>0</v>
      </c>
      <c r="M197" s="49">
        <v>0</v>
      </c>
      <c r="N197" s="49">
        <v>0</v>
      </c>
      <c r="O197" s="49">
        <v>0</v>
      </c>
      <c r="P197" s="49">
        <v>0</v>
      </c>
    </row>
    <row r="198" spans="1:16" ht="12.95">
      <c r="A198" s="13">
        <f>Kriteeristö!C198</f>
        <v>0</v>
      </c>
      <c r="B198" s="12">
        <f>Kriteeristö!E198</f>
        <v>0</v>
      </c>
      <c r="C198" s="12">
        <f>Kriteeristö!F198</f>
        <v>0</v>
      </c>
      <c r="D198" s="12">
        <f>Kriteeristö!G198</f>
        <v>0</v>
      </c>
      <c r="E198" s="12">
        <f>Kriteeristö!H198</f>
        <v>0</v>
      </c>
      <c r="F198" s="34">
        <f>Kriteeristö!L198</f>
        <v>0</v>
      </c>
      <c r="G198" s="49">
        <v>1</v>
      </c>
      <c r="H198" s="49">
        <v>0</v>
      </c>
      <c r="I198" s="49">
        <v>1</v>
      </c>
      <c r="J198" s="49">
        <v>0</v>
      </c>
      <c r="K198" s="49">
        <v>0</v>
      </c>
      <c r="L198" s="49">
        <v>0</v>
      </c>
      <c r="M198" s="49">
        <v>0</v>
      </c>
      <c r="N198" s="49">
        <v>0</v>
      </c>
      <c r="O198" s="49">
        <v>0</v>
      </c>
      <c r="P198" s="49">
        <v>0</v>
      </c>
    </row>
    <row r="199" spans="1:16" ht="12.95">
      <c r="A199" s="13">
        <f>Kriteeristö!C199</f>
        <v>0</v>
      </c>
      <c r="B199" s="12">
        <f>Kriteeristö!E199</f>
        <v>0</v>
      </c>
      <c r="C199" s="12">
        <f>Kriteeristö!F199</f>
        <v>0</v>
      </c>
      <c r="D199" s="12">
        <f>Kriteeristö!G199</f>
        <v>0</v>
      </c>
      <c r="E199" s="12">
        <f>Kriteeristö!H199</f>
        <v>0</v>
      </c>
      <c r="F199" s="34">
        <f>Kriteeristö!L199</f>
        <v>0</v>
      </c>
      <c r="G199" s="49">
        <v>1</v>
      </c>
      <c r="H199" s="49">
        <v>1</v>
      </c>
      <c r="I199" s="49">
        <v>1</v>
      </c>
      <c r="J199" s="49">
        <v>0</v>
      </c>
      <c r="K199" s="49">
        <v>0</v>
      </c>
      <c r="L199" s="49">
        <v>0</v>
      </c>
      <c r="M199" s="49">
        <v>0</v>
      </c>
      <c r="N199" s="49">
        <v>0</v>
      </c>
      <c r="O199" s="49">
        <v>0</v>
      </c>
      <c r="P199" s="49">
        <v>0</v>
      </c>
    </row>
    <row r="200" spans="1:16" ht="12.95">
      <c r="A200" s="13">
        <f>Kriteeristö!C200</f>
        <v>0</v>
      </c>
      <c r="B200" s="12">
        <f>Kriteeristö!E200</f>
        <v>0</v>
      </c>
      <c r="C200" s="12">
        <f>Kriteeristö!F200</f>
        <v>0</v>
      </c>
      <c r="D200" s="12">
        <f>Kriteeristö!G200</f>
        <v>0</v>
      </c>
      <c r="E200" s="12">
        <f>Kriteeristö!H200</f>
        <v>0</v>
      </c>
      <c r="F200" s="34">
        <f>Kriteeristö!L200</f>
        <v>0</v>
      </c>
      <c r="G200" s="49">
        <v>2</v>
      </c>
      <c r="H200" s="49">
        <v>1</v>
      </c>
      <c r="I200" s="49">
        <v>2</v>
      </c>
      <c r="J200" s="49">
        <v>0</v>
      </c>
      <c r="K200" s="49">
        <v>0</v>
      </c>
      <c r="L200" s="49">
        <v>0</v>
      </c>
      <c r="M200" s="49">
        <v>0</v>
      </c>
      <c r="N200" s="49">
        <v>0</v>
      </c>
      <c r="O200" s="49">
        <v>0</v>
      </c>
      <c r="P200" s="49">
        <v>0</v>
      </c>
    </row>
    <row r="201" spans="1:16" ht="12.95">
      <c r="A201" s="13">
        <f>Kriteeristö!C201</f>
        <v>0</v>
      </c>
      <c r="B201" s="12">
        <f>Kriteeristö!E201</f>
        <v>0</v>
      </c>
      <c r="C201" s="12">
        <f>Kriteeristö!F201</f>
        <v>0</v>
      </c>
      <c r="D201" s="12">
        <f>Kriteeristö!G201</f>
        <v>0</v>
      </c>
      <c r="E201" s="12">
        <f>Kriteeristö!H201</f>
        <v>0</v>
      </c>
      <c r="F201" s="34">
        <f>Kriteeristö!L201</f>
        <v>0</v>
      </c>
      <c r="G201" s="49">
        <v>1</v>
      </c>
      <c r="H201" s="49">
        <v>1</v>
      </c>
      <c r="I201" s="49">
        <v>1</v>
      </c>
      <c r="J201" s="49">
        <v>0</v>
      </c>
      <c r="K201" s="49">
        <v>0</v>
      </c>
      <c r="L201" s="49">
        <v>0</v>
      </c>
      <c r="M201" s="49">
        <v>0</v>
      </c>
      <c r="N201" s="49">
        <v>0</v>
      </c>
      <c r="O201" s="49">
        <v>0</v>
      </c>
      <c r="P201" s="49">
        <v>0</v>
      </c>
    </row>
    <row r="202" spans="1:16" ht="12.95">
      <c r="A202" s="13">
        <f>Kriteeristö!C202</f>
        <v>0</v>
      </c>
      <c r="B202" s="12">
        <f>Kriteeristö!E202</f>
        <v>0</v>
      </c>
      <c r="C202" s="12">
        <f>Kriteeristö!F202</f>
        <v>0</v>
      </c>
      <c r="D202" s="12">
        <f>Kriteeristö!G202</f>
        <v>0</v>
      </c>
      <c r="E202" s="12">
        <f>Kriteeristö!H202</f>
        <v>0</v>
      </c>
      <c r="F202" s="34">
        <f>Kriteeristö!L202</f>
        <v>0</v>
      </c>
      <c r="G202" s="49">
        <v>1</v>
      </c>
      <c r="H202" s="49">
        <v>1</v>
      </c>
      <c r="I202" s="49">
        <v>1</v>
      </c>
      <c r="J202" s="49">
        <v>0</v>
      </c>
      <c r="K202" s="49">
        <v>0</v>
      </c>
      <c r="L202" s="49">
        <v>0</v>
      </c>
      <c r="M202" s="49">
        <v>0</v>
      </c>
      <c r="N202" s="49">
        <v>0</v>
      </c>
      <c r="O202" s="49">
        <v>0</v>
      </c>
      <c r="P202" s="49">
        <v>0</v>
      </c>
    </row>
    <row r="203" spans="1:16" ht="12.95">
      <c r="A203" s="13">
        <f>Kriteeristö!C203</f>
        <v>0</v>
      </c>
      <c r="B203" s="12">
        <f>Kriteeristö!E203</f>
        <v>0</v>
      </c>
      <c r="C203" s="12">
        <f>Kriteeristö!F203</f>
        <v>0</v>
      </c>
      <c r="D203" s="12">
        <f>Kriteeristö!G203</f>
        <v>0</v>
      </c>
      <c r="E203" s="12">
        <f>Kriteeristö!H203</f>
        <v>0</v>
      </c>
      <c r="F203" s="34">
        <f>Kriteeristö!L203</f>
        <v>0</v>
      </c>
      <c r="G203" s="49">
        <v>1</v>
      </c>
      <c r="H203" s="49">
        <v>1</v>
      </c>
      <c r="I203" s="49">
        <v>1</v>
      </c>
      <c r="J203" s="49">
        <v>0</v>
      </c>
      <c r="K203" s="49">
        <v>0</v>
      </c>
      <c r="L203" s="49">
        <v>0</v>
      </c>
      <c r="M203" s="49">
        <v>0</v>
      </c>
      <c r="N203" s="49">
        <v>0</v>
      </c>
      <c r="O203" s="49">
        <v>0</v>
      </c>
      <c r="P203" s="49">
        <v>0</v>
      </c>
    </row>
    <row r="204" spans="1:16" ht="12.95">
      <c r="A204" s="13">
        <f>Kriteeristö!C204</f>
        <v>0</v>
      </c>
      <c r="B204" s="12">
        <f>Kriteeristö!E204</f>
        <v>0</v>
      </c>
      <c r="C204" s="12">
        <f>Kriteeristö!F204</f>
        <v>0</v>
      </c>
      <c r="D204" s="12">
        <f>Kriteeristö!G204</f>
        <v>0</v>
      </c>
      <c r="E204" s="12">
        <f>Kriteeristö!H204</f>
        <v>0</v>
      </c>
      <c r="F204" s="34">
        <f>Kriteeristö!L204</f>
        <v>0</v>
      </c>
      <c r="G204" s="49">
        <v>1</v>
      </c>
      <c r="H204" s="49">
        <v>0</v>
      </c>
      <c r="I204" s="49">
        <v>2</v>
      </c>
      <c r="J204" s="49">
        <v>0</v>
      </c>
      <c r="K204" s="49">
        <v>0</v>
      </c>
      <c r="L204" s="49">
        <v>0</v>
      </c>
      <c r="M204" s="49">
        <v>0</v>
      </c>
      <c r="N204" s="49">
        <v>0</v>
      </c>
      <c r="O204" s="49">
        <v>0</v>
      </c>
      <c r="P204" s="49">
        <v>0</v>
      </c>
    </row>
    <row r="205" spans="1:16" ht="12.95">
      <c r="A205" s="13">
        <f>Kriteeristö!C205</f>
        <v>0</v>
      </c>
      <c r="B205" s="12">
        <f>Kriteeristö!E205</f>
        <v>0</v>
      </c>
      <c r="C205" s="12">
        <f>Kriteeristö!F205</f>
        <v>0</v>
      </c>
      <c r="D205" s="12">
        <f>Kriteeristö!G205</f>
        <v>0</v>
      </c>
      <c r="E205" s="12">
        <f>Kriteeristö!H205</f>
        <v>0</v>
      </c>
      <c r="F205" s="34">
        <f>Kriteeristö!L205</f>
        <v>0</v>
      </c>
      <c r="G205" s="49">
        <v>1</v>
      </c>
      <c r="H205" s="49">
        <v>1</v>
      </c>
      <c r="I205" s="49">
        <v>1</v>
      </c>
      <c r="J205" s="49">
        <v>0</v>
      </c>
      <c r="K205" s="49">
        <v>0</v>
      </c>
      <c r="L205" s="49">
        <v>0</v>
      </c>
      <c r="M205" s="49">
        <v>0</v>
      </c>
      <c r="N205" s="49">
        <v>0</v>
      </c>
      <c r="O205" s="49">
        <v>0</v>
      </c>
      <c r="P205" s="49">
        <v>0</v>
      </c>
    </row>
    <row r="206" spans="1:16" ht="12.95">
      <c r="A206" s="13">
        <f>Kriteeristö!C206</f>
        <v>0</v>
      </c>
      <c r="B206" s="12">
        <f>Kriteeristö!E206</f>
        <v>0</v>
      </c>
      <c r="C206" s="12">
        <f>Kriteeristö!F206</f>
        <v>0</v>
      </c>
      <c r="D206" s="12">
        <f>Kriteeristö!G206</f>
        <v>0</v>
      </c>
      <c r="E206" s="12">
        <f>Kriteeristö!H206</f>
        <v>0</v>
      </c>
      <c r="F206" s="34">
        <f>Kriteeristö!L206</f>
        <v>0</v>
      </c>
      <c r="G206" s="49">
        <v>1</v>
      </c>
      <c r="H206" s="49">
        <v>2</v>
      </c>
      <c r="I206" s="49">
        <v>1</v>
      </c>
      <c r="J206" s="49">
        <v>0</v>
      </c>
      <c r="K206" s="49">
        <v>0</v>
      </c>
      <c r="L206" s="49">
        <v>0</v>
      </c>
      <c r="M206" s="49">
        <v>0</v>
      </c>
      <c r="N206" s="49">
        <v>0</v>
      </c>
      <c r="O206" s="49">
        <v>0</v>
      </c>
      <c r="P206" s="49">
        <v>0</v>
      </c>
    </row>
    <row r="207" spans="1:16" ht="12.95">
      <c r="A207" s="13">
        <f>Kriteeristö!C207</f>
        <v>0</v>
      </c>
      <c r="B207" s="12">
        <f>Kriteeristö!E207</f>
        <v>0</v>
      </c>
      <c r="C207" s="12">
        <f>Kriteeristö!F207</f>
        <v>0</v>
      </c>
      <c r="D207" s="12">
        <f>Kriteeristö!G207</f>
        <v>0</v>
      </c>
      <c r="E207" s="12">
        <f>Kriteeristö!H207</f>
        <v>0</v>
      </c>
      <c r="F207" s="34">
        <f>Kriteeristö!L207</f>
        <v>0</v>
      </c>
      <c r="G207" s="49">
        <v>1</v>
      </c>
      <c r="H207" s="49">
        <v>2</v>
      </c>
      <c r="I207" s="49">
        <v>1</v>
      </c>
      <c r="J207" s="49">
        <v>0</v>
      </c>
      <c r="K207" s="49">
        <v>0</v>
      </c>
      <c r="L207" s="49">
        <v>0</v>
      </c>
      <c r="M207" s="49">
        <v>0</v>
      </c>
      <c r="N207" s="49">
        <v>0</v>
      </c>
      <c r="O207" s="49">
        <v>0</v>
      </c>
      <c r="P207" s="49">
        <v>0</v>
      </c>
    </row>
    <row r="208" spans="1:16" ht="12.95">
      <c r="A208" s="13">
        <f>Kriteeristö!C208</f>
        <v>0</v>
      </c>
      <c r="B208" s="12">
        <f>Kriteeristö!E208</f>
        <v>0</v>
      </c>
      <c r="C208" s="12">
        <f>Kriteeristö!F208</f>
        <v>0</v>
      </c>
      <c r="D208" s="12">
        <f>Kriteeristö!G208</f>
        <v>0</v>
      </c>
      <c r="E208" s="12">
        <f>Kriteeristö!H208</f>
        <v>0</v>
      </c>
      <c r="F208" s="34">
        <f>Kriteeristö!L208</f>
        <v>0</v>
      </c>
      <c r="G208" s="49">
        <v>1</v>
      </c>
      <c r="H208" s="49">
        <v>1</v>
      </c>
      <c r="I208" s="49">
        <v>2</v>
      </c>
      <c r="J208" s="49">
        <v>0</v>
      </c>
      <c r="K208" s="49">
        <v>0</v>
      </c>
      <c r="L208" s="49">
        <v>0</v>
      </c>
      <c r="M208" s="49">
        <v>0</v>
      </c>
      <c r="N208" s="49">
        <v>0</v>
      </c>
      <c r="O208" s="49">
        <v>0</v>
      </c>
      <c r="P208" s="49">
        <v>0</v>
      </c>
    </row>
    <row r="209" spans="1:16" ht="12.95">
      <c r="A209" s="13">
        <f>Kriteeristö!C209</f>
        <v>0</v>
      </c>
      <c r="B209" s="12">
        <f>Kriteeristö!E209</f>
        <v>0</v>
      </c>
      <c r="C209" s="12">
        <f>Kriteeristö!F209</f>
        <v>0</v>
      </c>
      <c r="D209" s="12">
        <f>Kriteeristö!G209</f>
        <v>0</v>
      </c>
      <c r="E209" s="12">
        <f>Kriteeristö!H209</f>
        <v>0</v>
      </c>
      <c r="F209" s="34">
        <f>Kriteeristö!L209</f>
        <v>0</v>
      </c>
      <c r="G209" s="49">
        <v>0</v>
      </c>
      <c r="H209" s="49">
        <v>2</v>
      </c>
      <c r="I209" s="49">
        <v>0</v>
      </c>
      <c r="J209" s="49">
        <v>0</v>
      </c>
      <c r="K209" s="49">
        <v>0</v>
      </c>
      <c r="L209" s="49">
        <v>0</v>
      </c>
      <c r="M209" s="49">
        <v>0</v>
      </c>
      <c r="N209" s="49">
        <v>0</v>
      </c>
      <c r="O209" s="49">
        <v>0</v>
      </c>
      <c r="P209" s="49">
        <v>0</v>
      </c>
    </row>
    <row r="210" spans="1:16" ht="12.95">
      <c r="A210" s="13">
        <f>Kriteeristö!C210</f>
        <v>0</v>
      </c>
      <c r="B210" s="12">
        <f>Kriteeristö!E210</f>
        <v>0</v>
      </c>
      <c r="C210" s="12">
        <f>Kriteeristö!F210</f>
        <v>0</v>
      </c>
      <c r="D210" s="12">
        <f>Kriteeristö!G210</f>
        <v>0</v>
      </c>
      <c r="E210" s="12">
        <f>Kriteeristö!H210</f>
        <v>0</v>
      </c>
      <c r="F210" s="34">
        <f>Kriteeristö!L210</f>
        <v>0</v>
      </c>
      <c r="G210" s="49">
        <v>1</v>
      </c>
      <c r="H210" s="49">
        <v>1</v>
      </c>
      <c r="I210" s="49">
        <v>1</v>
      </c>
      <c r="J210" s="49">
        <v>0</v>
      </c>
      <c r="K210" s="49">
        <v>0</v>
      </c>
      <c r="L210" s="49">
        <v>0</v>
      </c>
      <c r="M210" s="49">
        <v>0</v>
      </c>
      <c r="N210" s="49">
        <v>0</v>
      </c>
      <c r="O210" s="49">
        <v>0</v>
      </c>
      <c r="P210" s="49">
        <v>0</v>
      </c>
    </row>
    <row r="211" spans="1:16" ht="12.95">
      <c r="A211" s="13">
        <f>Kriteeristö!C211</f>
        <v>0</v>
      </c>
      <c r="B211" s="12">
        <f>Kriteeristö!E211</f>
        <v>0</v>
      </c>
      <c r="C211" s="12">
        <f>Kriteeristö!F211</f>
        <v>0</v>
      </c>
      <c r="D211" s="12">
        <f>Kriteeristö!G211</f>
        <v>0</v>
      </c>
      <c r="E211" s="12">
        <f>Kriteeristö!H211</f>
        <v>0</v>
      </c>
      <c r="F211" s="34">
        <f>Kriteeristö!L211</f>
        <v>0</v>
      </c>
      <c r="G211" s="49">
        <v>1</v>
      </c>
      <c r="H211" s="49">
        <v>1</v>
      </c>
      <c r="I211" s="49">
        <v>1</v>
      </c>
      <c r="J211" s="49">
        <v>0</v>
      </c>
      <c r="K211" s="49">
        <v>0</v>
      </c>
      <c r="L211" s="49">
        <v>0</v>
      </c>
      <c r="M211" s="49">
        <v>0</v>
      </c>
      <c r="N211" s="49">
        <v>0</v>
      </c>
      <c r="O211" s="49">
        <v>0</v>
      </c>
      <c r="P211" s="49">
        <v>0</v>
      </c>
    </row>
    <row r="212" spans="1:16" ht="12.95">
      <c r="A212" s="13">
        <f>Kriteeristö!C212</f>
        <v>0</v>
      </c>
      <c r="B212" s="12">
        <f>Kriteeristö!E212</f>
        <v>0</v>
      </c>
      <c r="C212" s="12">
        <f>Kriteeristö!F212</f>
        <v>0</v>
      </c>
      <c r="D212" s="12">
        <f>Kriteeristö!G212</f>
        <v>0</v>
      </c>
      <c r="E212" s="12">
        <f>Kriteeristö!H212</f>
        <v>0</v>
      </c>
      <c r="F212" s="34">
        <f>Kriteeristö!L212</f>
        <v>0</v>
      </c>
      <c r="G212" s="49">
        <v>1</v>
      </c>
      <c r="H212" s="49">
        <v>2</v>
      </c>
      <c r="I212" s="49">
        <v>1</v>
      </c>
      <c r="J212" s="49">
        <v>0</v>
      </c>
      <c r="K212" s="49">
        <v>0</v>
      </c>
      <c r="L212" s="49">
        <v>0</v>
      </c>
      <c r="M212" s="49">
        <v>0</v>
      </c>
      <c r="N212" s="49">
        <v>0</v>
      </c>
      <c r="O212" s="49">
        <v>0</v>
      </c>
      <c r="P212" s="49">
        <v>0</v>
      </c>
    </row>
    <row r="213" spans="1:16" ht="12.95">
      <c r="A213" s="13">
        <f>Kriteeristö!C213</f>
        <v>0</v>
      </c>
      <c r="B213" s="12">
        <f>Kriteeristö!E213</f>
        <v>0</v>
      </c>
      <c r="C213" s="12">
        <f>Kriteeristö!F213</f>
        <v>0</v>
      </c>
      <c r="D213" s="12">
        <f>Kriteeristö!G213</f>
        <v>0</v>
      </c>
      <c r="E213" s="12">
        <f>Kriteeristö!H213</f>
        <v>0</v>
      </c>
      <c r="F213" s="34">
        <f>Kriteeristö!L213</f>
        <v>0</v>
      </c>
      <c r="G213" s="49">
        <v>1</v>
      </c>
      <c r="H213" s="49">
        <v>1</v>
      </c>
      <c r="I213" s="49">
        <v>1</v>
      </c>
      <c r="J213" s="49">
        <v>0</v>
      </c>
      <c r="K213" s="49">
        <v>0</v>
      </c>
      <c r="L213" s="49">
        <v>0</v>
      </c>
      <c r="M213" s="49">
        <v>0</v>
      </c>
      <c r="N213" s="49">
        <v>0</v>
      </c>
      <c r="O213" s="49">
        <v>0</v>
      </c>
      <c r="P213" s="49">
        <v>0</v>
      </c>
    </row>
    <row r="214" spans="1:16" ht="12.95">
      <c r="A214" s="13">
        <f>Kriteeristö!C214</f>
        <v>0</v>
      </c>
      <c r="B214" s="12">
        <f>Kriteeristö!E214</f>
        <v>0</v>
      </c>
      <c r="C214" s="12">
        <f>Kriteeristö!F214</f>
        <v>0</v>
      </c>
      <c r="D214" s="12">
        <f>Kriteeristö!G214</f>
        <v>0</v>
      </c>
      <c r="E214" s="12">
        <f>Kriteeristö!H214</f>
        <v>0</v>
      </c>
      <c r="F214" s="34">
        <f>Kriteeristö!L214</f>
        <v>0</v>
      </c>
      <c r="G214" s="49">
        <v>1</v>
      </c>
      <c r="H214" s="49">
        <v>2</v>
      </c>
      <c r="I214" s="49">
        <v>2</v>
      </c>
      <c r="J214" s="49">
        <v>0</v>
      </c>
      <c r="K214" s="49">
        <v>0</v>
      </c>
      <c r="L214" s="49">
        <v>0</v>
      </c>
      <c r="M214" s="49">
        <v>0</v>
      </c>
      <c r="N214" s="49">
        <v>0</v>
      </c>
      <c r="O214" s="49">
        <v>0</v>
      </c>
      <c r="P214" s="49">
        <v>0</v>
      </c>
    </row>
    <row r="215" spans="1:16" ht="12.95">
      <c r="A215" s="13">
        <f>Kriteeristö!C215</f>
        <v>0</v>
      </c>
      <c r="B215" s="12">
        <f>Kriteeristö!E215</f>
        <v>0</v>
      </c>
      <c r="C215" s="12">
        <f>Kriteeristö!F215</f>
        <v>0</v>
      </c>
      <c r="D215" s="12">
        <f>Kriteeristö!G215</f>
        <v>0</v>
      </c>
      <c r="E215" s="12">
        <f>Kriteeristö!H215</f>
        <v>0</v>
      </c>
      <c r="F215" s="34">
        <f>Kriteeristö!L215</f>
        <v>0</v>
      </c>
      <c r="G215" s="49">
        <v>1</v>
      </c>
      <c r="H215" s="49">
        <v>2</v>
      </c>
      <c r="I215" s="49">
        <v>1</v>
      </c>
      <c r="J215" s="49">
        <v>0</v>
      </c>
      <c r="K215" s="49">
        <v>0</v>
      </c>
      <c r="L215" s="49">
        <v>0</v>
      </c>
      <c r="M215" s="49">
        <v>0</v>
      </c>
      <c r="N215" s="49">
        <v>0</v>
      </c>
      <c r="O215" s="49">
        <v>0</v>
      </c>
      <c r="P215" s="49">
        <v>0</v>
      </c>
    </row>
    <row r="216" spans="1:16" ht="12.95">
      <c r="A216" s="13">
        <f>Kriteeristö!C216</f>
        <v>0</v>
      </c>
      <c r="B216" s="12">
        <f>Kriteeristö!E216</f>
        <v>0</v>
      </c>
      <c r="C216" s="12">
        <f>Kriteeristö!F216</f>
        <v>0</v>
      </c>
      <c r="D216" s="12">
        <f>Kriteeristö!G216</f>
        <v>0</v>
      </c>
      <c r="E216" s="12">
        <f>Kriteeristö!H216</f>
        <v>0</v>
      </c>
      <c r="F216" s="34">
        <f>Kriteeristö!L216</f>
        <v>0</v>
      </c>
      <c r="G216" s="49">
        <v>1</v>
      </c>
      <c r="H216" s="49">
        <v>1</v>
      </c>
      <c r="I216" s="49">
        <v>2</v>
      </c>
      <c r="J216" s="49">
        <v>0</v>
      </c>
      <c r="K216" s="49">
        <v>0</v>
      </c>
      <c r="L216" s="49">
        <v>0</v>
      </c>
      <c r="M216" s="49">
        <v>0</v>
      </c>
      <c r="N216" s="49">
        <v>0</v>
      </c>
      <c r="O216" s="49">
        <v>0</v>
      </c>
      <c r="P216" s="49">
        <v>0</v>
      </c>
    </row>
    <row r="217" spans="1:16" ht="12.95">
      <c r="A217" s="13">
        <f>Kriteeristö!C217</f>
        <v>0</v>
      </c>
      <c r="B217" s="12">
        <f>Kriteeristö!E217</f>
        <v>0</v>
      </c>
      <c r="C217" s="12">
        <f>Kriteeristö!F217</f>
        <v>0</v>
      </c>
      <c r="D217" s="12">
        <f>Kriteeristö!G217</f>
        <v>0</v>
      </c>
      <c r="E217" s="12">
        <f>Kriteeristö!H217</f>
        <v>0</v>
      </c>
      <c r="F217" s="34">
        <f>Kriteeristö!L217</f>
        <v>0</v>
      </c>
      <c r="G217" s="49">
        <v>1</v>
      </c>
      <c r="H217" s="49">
        <v>0</v>
      </c>
      <c r="I217" s="49">
        <v>2</v>
      </c>
      <c r="J217" s="49">
        <v>0</v>
      </c>
      <c r="K217" s="49">
        <v>0</v>
      </c>
      <c r="L217" s="49">
        <v>0</v>
      </c>
      <c r="M217" s="49">
        <v>0</v>
      </c>
      <c r="N217" s="49">
        <v>0</v>
      </c>
      <c r="O217" s="49">
        <v>0</v>
      </c>
      <c r="P217" s="49">
        <v>0</v>
      </c>
    </row>
    <row r="218" spans="1:16" ht="12.95">
      <c r="A218" s="13">
        <f>Kriteeristö!C218</f>
        <v>0</v>
      </c>
      <c r="B218" s="12">
        <f>Kriteeristö!E218</f>
        <v>0</v>
      </c>
      <c r="C218" s="12">
        <f>Kriteeristö!F218</f>
        <v>0</v>
      </c>
      <c r="D218" s="12">
        <f>Kriteeristö!G218</f>
        <v>0</v>
      </c>
      <c r="E218" s="12">
        <f>Kriteeristö!H218</f>
        <v>0</v>
      </c>
      <c r="F218" s="34">
        <f>Kriteeristö!L218</f>
        <v>0</v>
      </c>
      <c r="G218" s="49">
        <v>1</v>
      </c>
      <c r="H218" s="49">
        <v>0</v>
      </c>
      <c r="I218" s="49">
        <v>1</v>
      </c>
      <c r="J218" s="49">
        <v>0</v>
      </c>
      <c r="K218" s="49">
        <v>0</v>
      </c>
      <c r="L218" s="49">
        <v>0</v>
      </c>
      <c r="M218" s="49">
        <v>0</v>
      </c>
      <c r="N218" s="49">
        <v>0</v>
      </c>
      <c r="O218" s="49">
        <v>0</v>
      </c>
      <c r="P218" s="49">
        <v>0</v>
      </c>
    </row>
    <row r="219" spans="1:16" ht="12.95">
      <c r="A219" s="13">
        <f>Kriteeristö!C219</f>
        <v>0</v>
      </c>
      <c r="B219" s="12">
        <f>Kriteeristö!E219</f>
        <v>0</v>
      </c>
      <c r="C219" s="12">
        <f>Kriteeristö!F219</f>
        <v>0</v>
      </c>
      <c r="D219" s="12">
        <f>Kriteeristö!G219</f>
        <v>0</v>
      </c>
      <c r="E219" s="12">
        <f>Kriteeristö!H219</f>
        <v>0</v>
      </c>
      <c r="F219" s="34">
        <f>Kriteeristö!L219</f>
        <v>0</v>
      </c>
      <c r="G219" s="49">
        <v>2</v>
      </c>
      <c r="H219" s="49">
        <v>0</v>
      </c>
      <c r="I219" s="49">
        <v>2</v>
      </c>
      <c r="J219" s="49">
        <v>0</v>
      </c>
      <c r="K219" s="49">
        <v>0</v>
      </c>
      <c r="L219" s="49">
        <v>0</v>
      </c>
      <c r="M219" s="49">
        <v>0</v>
      </c>
      <c r="N219" s="49">
        <v>0</v>
      </c>
      <c r="O219" s="49">
        <v>0</v>
      </c>
      <c r="P219" s="49">
        <v>0</v>
      </c>
    </row>
    <row r="220" spans="1:16" ht="12.95">
      <c r="A220" s="13">
        <f>Kriteeristö!C220</f>
        <v>0</v>
      </c>
      <c r="B220" s="12">
        <f>Kriteeristö!E220</f>
        <v>0</v>
      </c>
      <c r="C220" s="12">
        <f>Kriteeristö!F220</f>
        <v>0</v>
      </c>
      <c r="D220" s="12">
        <f>Kriteeristö!G220</f>
        <v>0</v>
      </c>
      <c r="E220" s="12">
        <f>Kriteeristö!H220</f>
        <v>0</v>
      </c>
      <c r="F220" s="34">
        <f>Kriteeristö!L220</f>
        <v>0</v>
      </c>
      <c r="G220" s="49">
        <v>2</v>
      </c>
      <c r="H220" s="49">
        <v>0</v>
      </c>
      <c r="I220" s="49">
        <v>2</v>
      </c>
      <c r="J220" s="49">
        <v>0</v>
      </c>
      <c r="K220" s="49">
        <v>0</v>
      </c>
      <c r="L220" s="49">
        <v>0</v>
      </c>
      <c r="M220" s="49">
        <v>0</v>
      </c>
      <c r="N220" s="49">
        <v>0</v>
      </c>
      <c r="O220" s="49">
        <v>0</v>
      </c>
      <c r="P220" s="49">
        <v>0</v>
      </c>
    </row>
    <row r="221" spans="1:16" ht="12.95">
      <c r="A221" s="13">
        <f>Kriteeristö!C221</f>
        <v>0</v>
      </c>
      <c r="B221" s="12">
        <f>Kriteeristö!E221</f>
        <v>0</v>
      </c>
      <c r="C221" s="12">
        <f>Kriteeristö!F221</f>
        <v>0</v>
      </c>
      <c r="D221" s="12">
        <f>Kriteeristö!G221</f>
        <v>0</v>
      </c>
      <c r="E221" s="12">
        <f>Kriteeristö!H221</f>
        <v>0</v>
      </c>
      <c r="F221" s="34">
        <f>Kriteeristö!L221</f>
        <v>0</v>
      </c>
      <c r="G221" s="49">
        <v>2</v>
      </c>
      <c r="H221" s="49">
        <v>0</v>
      </c>
      <c r="I221" s="49">
        <v>2</v>
      </c>
      <c r="J221" s="49">
        <v>0</v>
      </c>
      <c r="K221" s="49">
        <v>0</v>
      </c>
      <c r="L221" s="49">
        <v>0</v>
      </c>
      <c r="M221" s="49">
        <v>0</v>
      </c>
      <c r="N221" s="49">
        <v>0</v>
      </c>
      <c r="O221" s="49">
        <v>0</v>
      </c>
      <c r="P221" s="49">
        <v>0</v>
      </c>
    </row>
    <row r="222" spans="1:16" ht="12.95">
      <c r="A222" s="13">
        <f>Kriteeristö!C222</f>
        <v>0</v>
      </c>
      <c r="B222" s="12">
        <f>Kriteeristö!E222</f>
        <v>0</v>
      </c>
      <c r="C222" s="12">
        <f>Kriteeristö!F222</f>
        <v>0</v>
      </c>
      <c r="D222" s="12">
        <f>Kriteeristö!G222</f>
        <v>0</v>
      </c>
      <c r="E222" s="12">
        <f>Kriteeristö!H222</f>
        <v>0</v>
      </c>
      <c r="F222" s="34">
        <f>Kriteeristö!L222</f>
        <v>0</v>
      </c>
      <c r="G222" s="49">
        <v>0</v>
      </c>
      <c r="H222" s="49">
        <v>1</v>
      </c>
      <c r="I222" s="49">
        <v>1</v>
      </c>
      <c r="J222" s="49">
        <v>0</v>
      </c>
      <c r="K222" s="49">
        <v>0</v>
      </c>
      <c r="L222" s="49">
        <v>0</v>
      </c>
      <c r="M222" s="49">
        <v>0</v>
      </c>
      <c r="N222" s="49">
        <v>0</v>
      </c>
      <c r="O222" s="49">
        <v>0</v>
      </c>
      <c r="P222" s="49">
        <v>0</v>
      </c>
    </row>
    <row r="223" spans="1:16" ht="12.95">
      <c r="A223" s="13">
        <f>Kriteeristö!C223</f>
        <v>0</v>
      </c>
      <c r="B223" s="12">
        <f>Kriteeristö!E223</f>
        <v>0</v>
      </c>
      <c r="C223" s="12">
        <f>Kriteeristö!F223</f>
        <v>0</v>
      </c>
      <c r="D223" s="12">
        <f>Kriteeristö!G223</f>
        <v>0</v>
      </c>
      <c r="E223" s="12">
        <f>Kriteeristö!H223</f>
        <v>0</v>
      </c>
      <c r="F223" s="34">
        <f>Kriteeristö!L223</f>
        <v>0</v>
      </c>
      <c r="G223" s="49">
        <v>1</v>
      </c>
      <c r="H223" s="49">
        <v>1</v>
      </c>
      <c r="I223" s="49">
        <v>1</v>
      </c>
      <c r="J223" s="49">
        <v>0</v>
      </c>
      <c r="K223" s="49">
        <v>0</v>
      </c>
      <c r="L223" s="49">
        <v>0</v>
      </c>
      <c r="M223" s="49">
        <v>0</v>
      </c>
      <c r="N223" s="49">
        <v>0</v>
      </c>
      <c r="O223" s="49">
        <v>0</v>
      </c>
      <c r="P223" s="49">
        <v>0</v>
      </c>
    </row>
  </sheetData>
  <sheetProtection formatCells="0" formatColumns="0" formatRows="0" autoFilter="0"/>
  <autoFilter ref="A1:R223" xr:uid="{A58C68A7-770A-43A0-8B7F-175E2169D2F8}"/>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2CE83-83F2-476A-9137-1E7B95B5DFDB}">
  <dimension ref="A1:XFC501"/>
  <sheetViews>
    <sheetView zoomScale="70" zoomScaleNormal="70" workbookViewId="0" xr3:uid="{03B6A58D-A902-5E71-A6D0-11881480EC28}">
      <pane ySplit="1" topLeftCell="A37" activePane="bottomLeft" state="frozen"/>
      <selection pane="bottomLeft" activeCell="F46" sqref="F46"/>
      <selection activeCell="B1" sqref="B1"/>
    </sheetView>
  </sheetViews>
  <sheetFormatPr defaultColWidth="25.140625" defaultRowHeight="12.95"/>
  <cols>
    <col min="1" max="1" width="37.42578125" style="10" bestFit="1" customWidth="1"/>
    <col min="2" max="2" width="28.42578125" style="10" customWidth="1"/>
    <col min="3" max="3" width="12.42578125" style="22" bestFit="1" customWidth="1"/>
    <col min="4" max="4" width="14.5703125" style="22" bestFit="1" customWidth="1"/>
    <col min="5" max="5" width="23.42578125" style="10" bestFit="1" customWidth="1"/>
    <col min="6" max="6" width="10.42578125" style="10" bestFit="1" customWidth="1"/>
    <col min="7" max="7" width="14.28515625" style="10" bestFit="1" customWidth="1"/>
    <col min="8" max="8" width="14.140625" style="10" bestFit="1" customWidth="1"/>
    <col min="9" max="9" width="18.85546875" style="10" bestFit="1" customWidth="1"/>
    <col min="10" max="10" width="13.140625" style="10" bestFit="1" customWidth="1"/>
    <col min="11" max="11" width="10.42578125" style="10" customWidth="1"/>
    <col min="12" max="12" width="81.42578125" style="33" customWidth="1"/>
    <col min="13" max="13" width="47" style="62" customWidth="1"/>
    <col min="14" max="14" width="46.85546875" style="22" customWidth="1"/>
    <col min="15" max="15" width="43.28515625" style="22" customWidth="1"/>
    <col min="16" max="16" width="33.140625" style="10" customWidth="1"/>
    <col min="17" max="17" width="22.28515625" style="10" customWidth="1"/>
    <col min="18" max="19" width="13.7109375" style="10" customWidth="1"/>
    <col min="20" max="20" width="8.85546875" style="10" customWidth="1"/>
    <col min="21" max="21" width="87.42578125" style="46" customWidth="1"/>
    <col min="22" max="22" width="38.28515625" style="46" customWidth="1"/>
    <col min="23" max="23" width="5.7109375" style="43" customWidth="1"/>
    <col min="24" max="24" width="8" style="45" customWidth="1"/>
    <col min="25" max="25" width="7.5703125" style="45" customWidth="1"/>
    <col min="26" max="26" width="8" style="45" customWidth="1"/>
    <col min="27" max="27" width="7.7109375" style="45" customWidth="1"/>
    <col min="28" max="28" width="12.42578125" style="48" customWidth="1"/>
    <col min="29" max="29" width="8" style="48" customWidth="1"/>
    <col min="30" max="30" width="7.5703125" style="48" customWidth="1"/>
    <col min="31" max="31" width="8" style="48" customWidth="1"/>
    <col min="32" max="32" width="7.7109375" style="48" customWidth="1"/>
    <col min="33" max="33" width="12.28515625" style="48" customWidth="1"/>
    <col min="34" max="34" width="5.5703125" style="48" customWidth="1"/>
    <col min="35" max="35" width="10.140625" style="48" customWidth="1"/>
    <col min="36" max="37" width="5.5703125" style="48" customWidth="1"/>
    <col min="38" max="38" width="8.7109375" style="48" customWidth="1"/>
    <col min="39" max="39" width="5.5703125" style="48" customWidth="1"/>
    <col min="40" max="40" width="25.140625" style="45" customWidth="1"/>
    <col min="41" max="16384" width="25.140625" style="10"/>
  </cols>
  <sheetData>
    <row r="1" spans="1:40 16345:16383" s="5" customFormat="1" ht="15.6">
      <c r="A1" s="5" t="s">
        <v>228</v>
      </c>
      <c r="B1" s="5" t="s">
        <v>229</v>
      </c>
      <c r="C1" s="6" t="s">
        <v>39</v>
      </c>
      <c r="D1" s="6" t="s">
        <v>230</v>
      </c>
      <c r="E1" s="5" t="s">
        <v>225</v>
      </c>
      <c r="F1" s="5" t="s">
        <v>226</v>
      </c>
      <c r="G1" s="5" t="s">
        <v>227</v>
      </c>
      <c r="H1" s="5" t="s">
        <v>36</v>
      </c>
      <c r="I1" s="5" t="s">
        <v>231</v>
      </c>
      <c r="J1" s="5" t="s">
        <v>232</v>
      </c>
      <c r="K1" s="5" t="s">
        <v>233</v>
      </c>
      <c r="L1" s="35" t="s">
        <v>40</v>
      </c>
      <c r="M1" s="60" t="s">
        <v>41</v>
      </c>
      <c r="N1" s="8" t="s">
        <v>234</v>
      </c>
      <c r="O1" s="8" t="s">
        <v>235</v>
      </c>
      <c r="P1" s="7" t="s">
        <v>236</v>
      </c>
      <c r="Q1" s="7" t="s">
        <v>237</v>
      </c>
      <c r="R1" s="7" t="s">
        <v>238</v>
      </c>
      <c r="S1" s="7" t="s">
        <v>239</v>
      </c>
      <c r="U1" s="39" t="s">
        <v>240</v>
      </c>
      <c r="V1" s="39" t="s">
        <v>241</v>
      </c>
      <c r="W1" s="40" t="s">
        <v>242</v>
      </c>
      <c r="X1" s="41" t="s">
        <v>243</v>
      </c>
      <c r="Y1" s="41" t="s">
        <v>244</v>
      </c>
      <c r="Z1" s="41" t="s">
        <v>245</v>
      </c>
      <c r="AA1" s="41" t="s">
        <v>246</v>
      </c>
      <c r="AB1" s="41" t="s">
        <v>247</v>
      </c>
      <c r="AC1" s="41" t="s">
        <v>248</v>
      </c>
      <c r="AD1" s="41" t="s">
        <v>249</v>
      </c>
      <c r="AE1" s="41" t="s">
        <v>250</v>
      </c>
      <c r="AF1" s="41" t="s">
        <v>251</v>
      </c>
      <c r="AG1" s="41" t="s">
        <v>252</v>
      </c>
      <c r="AH1" s="41" t="s">
        <v>253</v>
      </c>
      <c r="AI1" s="41" t="s">
        <v>254</v>
      </c>
      <c r="AJ1" s="41" t="s">
        <v>255</v>
      </c>
      <c r="AK1" s="41" t="s">
        <v>256</v>
      </c>
      <c r="AL1" s="41" t="s">
        <v>257</v>
      </c>
      <c r="AM1" s="41"/>
      <c r="AN1" s="41" t="s">
        <v>44</v>
      </c>
    </row>
    <row r="2" spans="1:40 16345:16383" ht="75">
      <c r="A2" s="5" t="s">
        <v>32</v>
      </c>
      <c r="B2" s="5" t="s">
        <v>258</v>
      </c>
      <c r="C2" s="22" t="s">
        <v>259</v>
      </c>
      <c r="E2" s="17" t="s">
        <v>25</v>
      </c>
      <c r="F2" s="17" t="s">
        <v>27</v>
      </c>
      <c r="G2" s="17" t="s">
        <v>27</v>
      </c>
      <c r="H2" s="17" t="s">
        <v>260</v>
      </c>
      <c r="I2" s="17"/>
      <c r="J2" s="17"/>
      <c r="K2" s="17"/>
      <c r="L2" s="32" t="s">
        <v>261</v>
      </c>
      <c r="M2" s="61" t="s">
        <v>262</v>
      </c>
      <c r="N2" s="23" t="s">
        <v>263</v>
      </c>
      <c r="O2" s="23"/>
      <c r="P2" s="9" t="s">
        <v>264</v>
      </c>
      <c r="Q2" s="9" t="s">
        <v>265</v>
      </c>
      <c r="R2" s="9"/>
      <c r="S2" s="9" t="s">
        <v>266</v>
      </c>
      <c r="U2" s="42" t="str">
        <f>CONCATENATE(C2,", L:",E2,", E:",F2,", S:",G2,", TS:",H2)</f>
        <v>HAL-01, L:Julkinen, E:Vähäinen, S:Vähäinen, TS:Henkilötieto</v>
      </c>
      <c r="V2" s="42" t="str">
        <f>IF(R2="",IF(S2="","",CONCATENATE("Katakri: ",S2)),IF(S2="",CONCATENATE("Julkri: ",R2),CONCATENATE("Julkri: ",R2,"; Katakri: ",S2)))</f>
        <v>Katakri: T-01</v>
      </c>
      <c r="W2" s="43">
        <f>IFERROR(VLOOKUP(A2,Esiehdot!A$11:D$15,4,0), 0)</f>
        <v>1</v>
      </c>
      <c r="X2" s="44">
        <f>IF(Esiehdot!D$4&gt;=IFERROR(VLOOKUP(E2,Valintalistat!D$2:H$7,5,0), 99),1,0)</f>
        <v>1</v>
      </c>
      <c r="Y2" s="44">
        <f>IF(Esiehdot!D$5&gt;=IFERROR(VLOOKUP(F2,Valintalistat!E$2:H$5,4,0), 99),1,0)</f>
        <v>1</v>
      </c>
      <c r="Z2" s="44">
        <f>IF(Esiehdot!D$6&gt;=IFERROR(VLOOKUP(G2,Valintalistat!F$2:H$5,3,0),99),1,0)</f>
        <v>1</v>
      </c>
      <c r="AA2" s="44">
        <f>IF(Esiehdot!D$8&gt;=IFERROR(VLOOKUP(H2,Valintalistat!G$2:H$5,2,0),99),1,0)</f>
        <v>0</v>
      </c>
      <c r="AB2" s="43">
        <f>IF(X2+Y2+Z2+AA2=0,0,1)</f>
        <v>1</v>
      </c>
      <c r="AC2" s="44">
        <f>IF(Esiehdot!E$4=IFERROR(VLOOKUP(E2,Valintalistat!D$2:H$7,5,0),99),1,0)</f>
        <v>0</v>
      </c>
      <c r="AD2" s="44">
        <f>IF(Esiehdot!E$5=IFERROR(VLOOKUP(F2,Valintalistat!E$2:H$5,4,0),99),1,0)</f>
        <v>0</v>
      </c>
      <c r="AE2" s="44">
        <f>IF(Esiehdot!E$6=IFERROR(VLOOKUP(G2,Valintalistat!F$2:H$5,3,0),99),1,0)</f>
        <v>0</v>
      </c>
      <c r="AF2" s="44">
        <f>IF(Esiehdot!E$8=IFERROR(VLOOKUP(H2,Valintalistat!G$2:H$3,2,0),98),1,0)</f>
        <v>0</v>
      </c>
      <c r="AG2" s="43">
        <f>IF(AC2+AD2+AE2+AF2&gt;X2+Y2+Z2+AA2,1,0)</f>
        <v>0</v>
      </c>
      <c r="AH2" s="43">
        <f>IFERROR(HLOOKUP(Esiehdot!$B$17,Käyttötapauskriteerit!G$1:P2,2,0),1)</f>
        <v>1</v>
      </c>
      <c r="AI2" s="43">
        <f>IF(W2*AB2*AH2=1,1,0)</f>
        <v>1</v>
      </c>
      <c r="AJ2" s="43">
        <f>IF(W2*AB2*AH2=2,1,0)</f>
        <v>0</v>
      </c>
      <c r="AK2" s="43">
        <f>IF(W2*AG2*AH2=1,1,0)</f>
        <v>0</v>
      </c>
      <c r="AL2" s="43">
        <f>IF(W2*AG2*AH2=2,1,0)</f>
        <v>0</v>
      </c>
      <c r="AM2" s="43"/>
      <c r="AN2" s="45" t="str">
        <f>IF(C2="","",IF(AI2=1,"Olennainen",IF(AJ2=1,"Valinnainen",IF(AK2=1,"Valinnainen",IF(AL2=1,"Valinnainen","Ei ehdoteta hankintaan")))))</f>
        <v>Olennainen</v>
      </c>
    </row>
    <row r="3" spans="1:40 16345:16383" ht="50.1">
      <c r="A3" s="5" t="s">
        <v>32</v>
      </c>
      <c r="B3" s="5" t="s">
        <v>258</v>
      </c>
      <c r="C3" s="22" t="s">
        <v>267</v>
      </c>
      <c r="E3" s="17" t="s">
        <v>25</v>
      </c>
      <c r="F3" s="17" t="s">
        <v>27</v>
      </c>
      <c r="G3" s="17" t="s">
        <v>27</v>
      </c>
      <c r="H3" s="17" t="s">
        <v>260</v>
      </c>
      <c r="I3" s="17"/>
      <c r="J3" s="17"/>
      <c r="K3" s="17"/>
      <c r="L3" s="32" t="s">
        <v>268</v>
      </c>
      <c r="M3" s="61" t="s">
        <v>269</v>
      </c>
      <c r="N3" s="23" t="s">
        <v>270</v>
      </c>
      <c r="O3" s="23" t="s">
        <v>271</v>
      </c>
      <c r="P3" s="9" t="s">
        <v>272</v>
      </c>
      <c r="Q3" s="9" t="s">
        <v>273</v>
      </c>
      <c r="R3" s="9"/>
      <c r="S3" s="9" t="s">
        <v>274</v>
      </c>
      <c r="U3" s="42" t="str">
        <f t="shared" ref="U3:U66" si="0">CONCATENATE(C3,", L:",E3,", E:",F3,", S:",G3,", TS:",H3)</f>
        <v>HAL-02, L:Julkinen, E:Vähäinen, S:Vähäinen, TS:Henkilötieto</v>
      </c>
      <c r="V3" s="46" t="str">
        <f t="shared" ref="V3:V66" si="1">IF(R3="",IF(S3="","",CONCATENATE("Katakri: ",S3)),IF(S3="",CONCATENATE("Julkri: ",R3),CONCATENATE("Julkri: ",R3,"; Katakri: ",S3)))</f>
        <v>Katakri: T-02</v>
      </c>
      <c r="W3" s="46">
        <f>IFERROR(VLOOKUP(A3,Esiehdot!A$11:D$15,4,0), 0)</f>
        <v>1</v>
      </c>
      <c r="X3" s="46">
        <f>IF(Esiehdot!D$4&gt;=IFERROR(VLOOKUP(E3,Valintalistat!D$2:H$7,5,0), 99),1,0)</f>
        <v>1</v>
      </c>
      <c r="Y3" s="46">
        <f>IF(Esiehdot!D$5&gt;=IFERROR(VLOOKUP(F3,Valintalistat!E$2:H$5,4,0), 99),1,0)</f>
        <v>1</v>
      </c>
      <c r="Z3" s="46">
        <f>IF(Esiehdot!D$6&gt;=IFERROR(VLOOKUP(G3,Valintalistat!F$2:H$5,3,0),99),1,0)</f>
        <v>1</v>
      </c>
      <c r="AA3" s="46">
        <f>IF(Esiehdot!D$8&gt;=IFERROR(VLOOKUP(H3,Valintalistat!G$2:H$5,2,0),99),1,0)</f>
        <v>0</v>
      </c>
      <c r="AB3" s="46">
        <f t="shared" ref="AB3:AB66" si="2">IF(X3+Y3+Z3+AA3=0,0,1)</f>
        <v>1</v>
      </c>
      <c r="AC3" s="46">
        <f>IF(Esiehdot!E$4=IFERROR(VLOOKUP(E3,Valintalistat!D$2:H$7,5,0),99),1,0)</f>
        <v>0</v>
      </c>
      <c r="AD3" s="46">
        <f>IF(Esiehdot!E$5=IFERROR(VLOOKUP(F3,Valintalistat!E$2:H$5,4,0),99),1,0)</f>
        <v>0</v>
      </c>
      <c r="AE3" s="46">
        <f>IF(Esiehdot!E$6=IFERROR(VLOOKUP(G3,Valintalistat!F$2:H$5,3,0),99),1,0)</f>
        <v>0</v>
      </c>
      <c r="AF3" s="46">
        <f>IF(Esiehdot!E$8=IFERROR(VLOOKUP(H3,Valintalistat!G$2:H$3,2,0),98),1,0)</f>
        <v>0</v>
      </c>
      <c r="AG3" s="46">
        <f t="shared" ref="AG3:AG66" si="3">IF(AC3+AD3+AE3+AF3&gt;X3+Y3+Z3+AA3,1,0)</f>
        <v>0</v>
      </c>
      <c r="AH3" s="46">
        <f>IFERROR(HLOOKUP(Esiehdot!$B$17,Käyttötapauskriteerit!G$1:P3,3,0),1)</f>
        <v>1</v>
      </c>
      <c r="AI3" s="46">
        <f t="shared" ref="AI3:AI66" si="4">IF(W3*AB3*AH3=1,1,0)</f>
        <v>1</v>
      </c>
      <c r="AJ3" s="46">
        <f t="shared" ref="AJ3:AJ66" si="5">IF(W3*AB3*AH3=2,1,0)</f>
        <v>0</v>
      </c>
      <c r="AK3" s="46">
        <f t="shared" ref="AK3:AK66" si="6">IF(W3*AG3*AH3=1,1,0)</f>
        <v>0</v>
      </c>
      <c r="AL3" s="46">
        <f t="shared" ref="AL3:AL66" si="7">IF(W3*AG3*AH3=2,1,0)</f>
        <v>0</v>
      </c>
      <c r="AM3" s="46"/>
      <c r="AN3" s="45" t="str">
        <f t="shared" ref="AN3:AN66" si="8">IF(C3="","",IF(AI3=1,"Olennainen",IF(AJ3=1,"Valinnainen",IF(AK3=1,"Valinnainen",IF(AL3=1,"Valinnainen","Ei ehdoteta hankintaan")))))</f>
        <v>Olennainen</v>
      </c>
      <c r="XEK3" s="5"/>
      <c r="XEL3" s="5"/>
      <c r="XEM3" s="22"/>
      <c r="XEN3" s="22"/>
      <c r="XEO3" s="17"/>
      <c r="XEP3" s="17"/>
      <c r="XEQ3" s="17"/>
      <c r="XER3" s="17"/>
      <c r="XES3" s="17"/>
      <c r="XET3" s="17"/>
      <c r="XEU3" s="17"/>
      <c r="XEV3" s="32"/>
      <c r="XEW3" s="23"/>
      <c r="XEX3" s="23"/>
      <c r="XEY3" s="23"/>
      <c r="XEZ3" s="9"/>
      <c r="XFA3" s="9"/>
      <c r="XFB3" s="9"/>
      <c r="XFC3" s="9"/>
    </row>
    <row r="4" spans="1:40 16345:16383" ht="37.5">
      <c r="A4" s="5" t="s">
        <v>32</v>
      </c>
      <c r="B4" s="5" t="s">
        <v>258</v>
      </c>
      <c r="C4" s="22" t="s">
        <v>275</v>
      </c>
      <c r="D4" s="22" t="s">
        <v>267</v>
      </c>
      <c r="E4" s="17" t="s">
        <v>276</v>
      </c>
      <c r="F4" s="17" t="s">
        <v>277</v>
      </c>
      <c r="G4" s="17" t="s">
        <v>277</v>
      </c>
      <c r="H4" s="17" t="s">
        <v>278</v>
      </c>
      <c r="I4" s="17"/>
      <c r="J4" s="17"/>
      <c r="K4" s="17"/>
      <c r="L4" s="32" t="s">
        <v>279</v>
      </c>
      <c r="M4" s="61" t="s">
        <v>280</v>
      </c>
      <c r="N4" s="23" t="s">
        <v>281</v>
      </c>
      <c r="O4" s="23" t="s">
        <v>282</v>
      </c>
      <c r="P4" s="9" t="s">
        <v>264</v>
      </c>
      <c r="Q4" s="9" t="s">
        <v>283</v>
      </c>
      <c r="R4" s="9"/>
      <c r="S4" s="9" t="s">
        <v>284</v>
      </c>
      <c r="U4" s="42" t="str">
        <f t="shared" si="0"/>
        <v>HAL-02.1, L:Salassa pidettävä, E:Tärkeä, S:Tärkeä, TS:Erityinen henkilötietoryhmä</v>
      </c>
      <c r="V4" s="42" t="str">
        <f t="shared" si="1"/>
        <v>Katakri: I-06</v>
      </c>
      <c r="W4" s="43">
        <f>IFERROR(VLOOKUP(A4,Esiehdot!A$11:D$15,4,0), 0)</f>
        <v>1</v>
      </c>
      <c r="X4" s="44">
        <f>IF(Esiehdot!D$4&gt;=IFERROR(VLOOKUP(E4,Valintalistat!D$2:H$7,5,0), 99),1,0)</f>
        <v>0</v>
      </c>
      <c r="Y4" s="44">
        <f>IF(Esiehdot!D$5&gt;=IFERROR(VLOOKUP(F4,Valintalistat!E$2:H$5,4,0), 99),1,0)</f>
        <v>0</v>
      </c>
      <c r="Z4" s="44">
        <f>IF(Esiehdot!D$6&gt;=IFERROR(VLOOKUP(G4,Valintalistat!F$2:H$5,3,0),99),1,0)</f>
        <v>0</v>
      </c>
      <c r="AA4" s="44">
        <f>IF(Esiehdot!D$8&gt;=IFERROR(VLOOKUP(H4,Valintalistat!G$2:H$5,2,0),99),1,0)</f>
        <v>0</v>
      </c>
      <c r="AB4" s="43">
        <f t="shared" si="2"/>
        <v>0</v>
      </c>
      <c r="AC4" s="44">
        <f>IF(Esiehdot!E$4=IFERROR(VLOOKUP(E4,Valintalistat!D$2:H$7,5,0),99),1,0)</f>
        <v>1</v>
      </c>
      <c r="AD4" s="44">
        <f>IF(Esiehdot!E$5=IFERROR(VLOOKUP(F4,Valintalistat!E$2:H$5,4,0),99),1,0)</f>
        <v>0</v>
      </c>
      <c r="AE4" s="44">
        <f>IF(Esiehdot!E$6=IFERROR(VLOOKUP(G4,Valintalistat!F$2:H$5,3,0),99),1,0)</f>
        <v>0</v>
      </c>
      <c r="AF4" s="44">
        <f>IF(Esiehdot!E$8=IFERROR(VLOOKUP(H4,Valintalistat!G$2:H$3,2,0),98),1,0)</f>
        <v>0</v>
      </c>
      <c r="AG4" s="43">
        <f t="shared" si="3"/>
        <v>1</v>
      </c>
      <c r="AH4" s="43">
        <f>IFERROR(HLOOKUP(Esiehdot!$B$17,Käyttötapauskriteerit!G$1:P4,4,0),1)</f>
        <v>1</v>
      </c>
      <c r="AI4" s="43">
        <f t="shared" si="4"/>
        <v>0</v>
      </c>
      <c r="AJ4" s="43">
        <f t="shared" si="5"/>
        <v>0</v>
      </c>
      <c r="AK4" s="43">
        <f t="shared" si="6"/>
        <v>1</v>
      </c>
      <c r="AL4" s="43">
        <f t="shared" si="7"/>
        <v>0</v>
      </c>
      <c r="AM4" s="43"/>
      <c r="AN4" s="45" t="str">
        <f t="shared" si="8"/>
        <v>Valinnainen</v>
      </c>
    </row>
    <row r="5" spans="1:40 16345:16383" ht="37.5">
      <c r="A5" s="5" t="s">
        <v>32</v>
      </c>
      <c r="B5" s="5" t="s">
        <v>258</v>
      </c>
      <c r="C5" s="22" t="s">
        <v>285</v>
      </c>
      <c r="E5" s="17" t="s">
        <v>25</v>
      </c>
      <c r="F5" s="17" t="s">
        <v>27</v>
      </c>
      <c r="G5" s="17" t="s">
        <v>27</v>
      </c>
      <c r="H5" s="17" t="s">
        <v>260</v>
      </c>
      <c r="I5" s="17"/>
      <c r="J5" s="17"/>
      <c r="K5" s="17"/>
      <c r="L5" s="32" t="s">
        <v>286</v>
      </c>
      <c r="M5" s="61" t="s">
        <v>287</v>
      </c>
      <c r="N5" s="23" t="s">
        <v>288</v>
      </c>
      <c r="O5" s="23" t="s">
        <v>289</v>
      </c>
      <c r="P5" s="9" t="s">
        <v>272</v>
      </c>
      <c r="Q5" s="9" t="s">
        <v>290</v>
      </c>
      <c r="R5" s="9"/>
      <c r="S5" s="9" t="s">
        <v>291</v>
      </c>
      <c r="U5" s="42" t="str">
        <f t="shared" si="0"/>
        <v>HAL-03, L:Julkinen, E:Vähäinen, S:Vähäinen, TS:Henkilötieto</v>
      </c>
      <c r="V5" s="42" t="str">
        <f t="shared" si="1"/>
        <v>Katakri: T-05</v>
      </c>
      <c r="W5" s="43">
        <f>IFERROR(VLOOKUP(A5,Esiehdot!A$11:D$15,4,0), 0)</f>
        <v>1</v>
      </c>
      <c r="X5" s="44">
        <f>IF(Esiehdot!D$4&gt;=IFERROR(VLOOKUP(E5,Valintalistat!D$2:H$7,5,0), 99),1,0)</f>
        <v>1</v>
      </c>
      <c r="Y5" s="44">
        <f>IF(Esiehdot!D$5&gt;=IFERROR(VLOOKUP(F5,Valintalistat!E$2:H$5,4,0), 99),1,0)</f>
        <v>1</v>
      </c>
      <c r="Z5" s="44">
        <f>IF(Esiehdot!D$6&gt;=IFERROR(VLOOKUP(G5,Valintalistat!F$2:H$5,3,0),99),1,0)</f>
        <v>1</v>
      </c>
      <c r="AA5" s="44">
        <f>IF(Esiehdot!D$8&gt;=IFERROR(VLOOKUP(H5,Valintalistat!G$2:H$5,2,0),99),1,0)</f>
        <v>0</v>
      </c>
      <c r="AB5" s="43">
        <f t="shared" si="2"/>
        <v>1</v>
      </c>
      <c r="AC5" s="44">
        <f>IF(Esiehdot!E$4=IFERROR(VLOOKUP(E5,Valintalistat!D$2:H$7,5,0),99),1,0)</f>
        <v>0</v>
      </c>
      <c r="AD5" s="44">
        <f>IF(Esiehdot!E$5=IFERROR(VLOOKUP(F5,Valintalistat!E$2:H$5,4,0),99),1,0)</f>
        <v>0</v>
      </c>
      <c r="AE5" s="44">
        <f>IF(Esiehdot!E$6=IFERROR(VLOOKUP(G5,Valintalistat!F$2:H$5,3,0),99),1,0)</f>
        <v>0</v>
      </c>
      <c r="AF5" s="44">
        <f>IF(Esiehdot!E$8=IFERROR(VLOOKUP(H5,Valintalistat!G$2:H$3,2,0),98),1,0)</f>
        <v>0</v>
      </c>
      <c r="AG5" s="43">
        <f t="shared" si="3"/>
        <v>0</v>
      </c>
      <c r="AH5" s="43">
        <f>IFERROR(HLOOKUP(Esiehdot!$B$17,Käyttötapauskriteerit!G$1:P5,5,0),1)</f>
        <v>1</v>
      </c>
      <c r="AI5" s="43">
        <f t="shared" si="4"/>
        <v>1</v>
      </c>
      <c r="AJ5" s="43">
        <f t="shared" si="5"/>
        <v>0</v>
      </c>
      <c r="AK5" s="43">
        <f t="shared" si="6"/>
        <v>0</v>
      </c>
      <c r="AL5" s="43">
        <f t="shared" si="7"/>
        <v>0</v>
      </c>
      <c r="AM5" s="43"/>
      <c r="AN5" s="45" t="str">
        <f t="shared" si="8"/>
        <v>Olennainen</v>
      </c>
    </row>
    <row r="6" spans="1:40 16345:16383" ht="37.5">
      <c r="A6" s="5" t="s">
        <v>32</v>
      </c>
      <c r="B6" s="5" t="s">
        <v>258</v>
      </c>
      <c r="C6" s="22" t="s">
        <v>292</v>
      </c>
      <c r="E6" s="17" t="s">
        <v>25</v>
      </c>
      <c r="F6" s="17" t="s">
        <v>27</v>
      </c>
      <c r="G6" s="17" t="s">
        <v>27</v>
      </c>
      <c r="H6" s="17" t="s">
        <v>260</v>
      </c>
      <c r="I6" s="17"/>
      <c r="J6" s="17"/>
      <c r="K6" s="17"/>
      <c r="L6" s="32" t="s">
        <v>293</v>
      </c>
      <c r="M6" s="61" t="s">
        <v>294</v>
      </c>
      <c r="N6" s="23" t="s">
        <v>295</v>
      </c>
      <c r="O6" s="23"/>
      <c r="P6" s="9" t="s">
        <v>296</v>
      </c>
      <c r="Q6" s="9" t="s">
        <v>297</v>
      </c>
      <c r="R6" s="9"/>
      <c r="S6" s="9"/>
      <c r="U6" s="42" t="str">
        <f t="shared" si="0"/>
        <v>HAL-04, L:Julkinen, E:Vähäinen, S:Vähäinen, TS:Henkilötieto</v>
      </c>
      <c r="V6" s="42" t="str">
        <f t="shared" si="1"/>
        <v/>
      </c>
      <c r="W6" s="43">
        <f>IFERROR(VLOOKUP(A6,Esiehdot!A$11:D$15,4,0), 0)</f>
        <v>1</v>
      </c>
      <c r="X6" s="44">
        <f>IF(Esiehdot!D$4&gt;=IFERROR(VLOOKUP(E6,Valintalistat!D$2:H$7,5,0), 99),1,0)</f>
        <v>1</v>
      </c>
      <c r="Y6" s="44">
        <f>IF(Esiehdot!D$5&gt;=IFERROR(VLOOKUP(F6,Valintalistat!E$2:H$5,4,0), 99),1,0)</f>
        <v>1</v>
      </c>
      <c r="Z6" s="44">
        <f>IF(Esiehdot!D$6&gt;=IFERROR(VLOOKUP(G6,Valintalistat!F$2:H$5,3,0),99),1,0)</f>
        <v>1</v>
      </c>
      <c r="AA6" s="44">
        <f>IF(Esiehdot!D$8&gt;=IFERROR(VLOOKUP(H6,Valintalistat!G$2:H$5,2,0),99),1,0)</f>
        <v>0</v>
      </c>
      <c r="AB6" s="43">
        <f t="shared" si="2"/>
        <v>1</v>
      </c>
      <c r="AC6" s="44">
        <f>IF(Esiehdot!E$4=IFERROR(VLOOKUP(E6,Valintalistat!D$2:H$7,5,0),99),1,0)</f>
        <v>0</v>
      </c>
      <c r="AD6" s="44">
        <f>IF(Esiehdot!E$5=IFERROR(VLOOKUP(F6,Valintalistat!E$2:H$5,4,0),99),1,0)</f>
        <v>0</v>
      </c>
      <c r="AE6" s="44">
        <f>IF(Esiehdot!E$6=IFERROR(VLOOKUP(G6,Valintalistat!F$2:H$5,3,0),99),1,0)</f>
        <v>0</v>
      </c>
      <c r="AF6" s="44">
        <f>IF(Esiehdot!E$8=IFERROR(VLOOKUP(H6,Valintalistat!G$2:H$3,2,0),98),1,0)</f>
        <v>0</v>
      </c>
      <c r="AG6" s="43">
        <f t="shared" si="3"/>
        <v>0</v>
      </c>
      <c r="AH6" s="43">
        <f>IFERROR(HLOOKUP(Esiehdot!$B$17,Käyttötapauskriteerit!G$1:P6,6,0),1)</f>
        <v>1</v>
      </c>
      <c r="AI6" s="43">
        <f t="shared" si="4"/>
        <v>1</v>
      </c>
      <c r="AJ6" s="43">
        <f t="shared" si="5"/>
        <v>0</v>
      </c>
      <c r="AK6" s="43">
        <f t="shared" si="6"/>
        <v>0</v>
      </c>
      <c r="AL6" s="43">
        <f t="shared" si="7"/>
        <v>0</v>
      </c>
      <c r="AM6" s="43"/>
      <c r="AN6" s="45" t="str">
        <f t="shared" si="8"/>
        <v>Olennainen</v>
      </c>
    </row>
    <row r="7" spans="1:40 16345:16383" ht="24.95">
      <c r="A7" s="5" t="s">
        <v>32</v>
      </c>
      <c r="B7" s="5" t="s">
        <v>258</v>
      </c>
      <c r="C7" s="22" t="s">
        <v>298</v>
      </c>
      <c r="D7" s="22" t="s">
        <v>292</v>
      </c>
      <c r="E7" s="17" t="s">
        <v>25</v>
      </c>
      <c r="F7" s="17" t="s">
        <v>27</v>
      </c>
      <c r="G7" s="17" t="s">
        <v>27</v>
      </c>
      <c r="H7" s="17" t="s">
        <v>260</v>
      </c>
      <c r="I7" s="17"/>
      <c r="J7" s="17"/>
      <c r="K7" s="17"/>
      <c r="L7" s="32" t="s">
        <v>299</v>
      </c>
      <c r="M7" s="61" t="s">
        <v>300</v>
      </c>
      <c r="N7" s="23"/>
      <c r="O7" s="23"/>
      <c r="P7" s="9" t="s">
        <v>272</v>
      </c>
      <c r="Q7" s="9" t="s">
        <v>301</v>
      </c>
      <c r="R7" s="9"/>
      <c r="S7" s="9"/>
      <c r="U7" s="42" t="str">
        <f t="shared" si="0"/>
        <v>HAL-04.1, L:Julkinen, E:Vähäinen, S:Vähäinen, TS:Henkilötieto</v>
      </c>
      <c r="V7" s="46" t="str">
        <f t="shared" si="1"/>
        <v/>
      </c>
      <c r="W7" s="46">
        <f>IFERROR(VLOOKUP(A7,Esiehdot!A$11:D$15,4,0), 0)</f>
        <v>1</v>
      </c>
      <c r="X7" s="46">
        <f>IF(Esiehdot!D$4&gt;=IFERROR(VLOOKUP(E7,Valintalistat!D$2:H$7,5,0), 99),1,0)</f>
        <v>1</v>
      </c>
      <c r="Y7" s="46">
        <f>IF(Esiehdot!D$5&gt;=IFERROR(VLOOKUP(F7,Valintalistat!E$2:H$5,4,0), 99),1,0)</f>
        <v>1</v>
      </c>
      <c r="Z7" s="46">
        <f>IF(Esiehdot!D$6&gt;=IFERROR(VLOOKUP(G7,Valintalistat!F$2:H$5,3,0),99),1,0)</f>
        <v>1</v>
      </c>
      <c r="AA7" s="46">
        <f>IF(Esiehdot!D$8&gt;=IFERROR(VLOOKUP(H7,Valintalistat!G$2:H$5,2,0),99),1,0)</f>
        <v>0</v>
      </c>
      <c r="AB7" s="46">
        <f t="shared" si="2"/>
        <v>1</v>
      </c>
      <c r="AC7" s="46">
        <f>IF(Esiehdot!E$4=IFERROR(VLOOKUP(E7,Valintalistat!D$2:H$7,5,0),99),1,0)</f>
        <v>0</v>
      </c>
      <c r="AD7" s="46">
        <f>IF(Esiehdot!E$5=IFERROR(VLOOKUP(F7,Valintalistat!E$2:H$5,4,0),99),1,0)</f>
        <v>0</v>
      </c>
      <c r="AE7" s="46">
        <f>IF(Esiehdot!E$6=IFERROR(VLOOKUP(G7,Valintalistat!F$2:H$5,3,0),99),1,0)</f>
        <v>0</v>
      </c>
      <c r="AF7" s="46">
        <f>IF(Esiehdot!E$8=IFERROR(VLOOKUP(H7,Valintalistat!G$2:H$3,2,0),98),1,0)</f>
        <v>0</v>
      </c>
      <c r="AG7" s="46">
        <f t="shared" si="3"/>
        <v>0</v>
      </c>
      <c r="AH7" s="46">
        <f>IFERROR(HLOOKUP(Esiehdot!$B$17,Käyttötapauskriteerit!G$1:P7,7,0),1)</f>
        <v>1</v>
      </c>
      <c r="AI7" s="46">
        <f t="shared" si="4"/>
        <v>1</v>
      </c>
      <c r="AJ7" s="46">
        <f t="shared" si="5"/>
        <v>0</v>
      </c>
      <c r="AK7" s="46">
        <f t="shared" si="6"/>
        <v>0</v>
      </c>
      <c r="AL7" s="46">
        <f t="shared" si="7"/>
        <v>0</v>
      </c>
      <c r="AM7" s="46"/>
      <c r="AN7" s="45" t="str">
        <f t="shared" si="8"/>
        <v>Olennainen</v>
      </c>
      <c r="XEK7" s="5"/>
      <c r="XEL7" s="5"/>
      <c r="XEM7" s="22"/>
      <c r="XEN7" s="22"/>
      <c r="XEO7" s="17"/>
      <c r="XEP7" s="17"/>
      <c r="XEQ7" s="17"/>
      <c r="XER7" s="17"/>
      <c r="XES7" s="17"/>
      <c r="XET7" s="17"/>
      <c r="XEU7" s="17"/>
      <c r="XEV7" s="32"/>
      <c r="XEW7" s="23"/>
      <c r="XEX7" s="23"/>
      <c r="XEY7" s="23"/>
      <c r="XEZ7" s="9"/>
      <c r="XFA7" s="9"/>
      <c r="XFB7" s="9"/>
      <c r="XFC7" s="9"/>
    </row>
    <row r="8" spans="1:40 16345:16383" ht="50.1">
      <c r="A8" s="5" t="s">
        <v>32</v>
      </c>
      <c r="B8" s="5" t="s">
        <v>258</v>
      </c>
      <c r="C8" s="22" t="s">
        <v>302</v>
      </c>
      <c r="D8" s="22" t="s">
        <v>292</v>
      </c>
      <c r="E8" s="17" t="s">
        <v>25</v>
      </c>
      <c r="F8" s="17" t="s">
        <v>27</v>
      </c>
      <c r="G8" s="17" t="s">
        <v>27</v>
      </c>
      <c r="H8" s="17" t="s">
        <v>260</v>
      </c>
      <c r="I8" s="17"/>
      <c r="J8" s="17"/>
      <c r="K8" s="17"/>
      <c r="L8" s="32" t="s">
        <v>303</v>
      </c>
      <c r="M8" s="61" t="s">
        <v>304</v>
      </c>
      <c r="N8" s="23" t="s">
        <v>305</v>
      </c>
      <c r="O8" s="23" t="s">
        <v>306</v>
      </c>
      <c r="P8" s="9" t="s">
        <v>307</v>
      </c>
      <c r="Q8" s="9" t="s">
        <v>308</v>
      </c>
      <c r="R8" s="9"/>
      <c r="S8" s="9" t="s">
        <v>309</v>
      </c>
      <c r="U8" s="42" t="str">
        <f t="shared" si="0"/>
        <v>HAL-04.2, L:Julkinen, E:Vähäinen, S:Vähäinen, TS:Henkilötieto</v>
      </c>
      <c r="V8" s="46" t="str">
        <f t="shared" si="1"/>
        <v>Katakri: T-08</v>
      </c>
      <c r="W8" s="46">
        <f>IFERROR(VLOOKUP(A8,Esiehdot!A$11:D$15,4,0), 0)</f>
        <v>1</v>
      </c>
      <c r="X8" s="46">
        <f>IF(Esiehdot!D$4&gt;=IFERROR(VLOOKUP(E8,Valintalistat!D$2:H$7,5,0), 99),1,0)</f>
        <v>1</v>
      </c>
      <c r="Y8" s="46">
        <f>IF(Esiehdot!D$5&gt;=IFERROR(VLOOKUP(F8,Valintalistat!E$2:H$5,4,0), 99),1,0)</f>
        <v>1</v>
      </c>
      <c r="Z8" s="46">
        <f>IF(Esiehdot!D$6&gt;=IFERROR(VLOOKUP(G8,Valintalistat!F$2:H$5,3,0),99),1,0)</f>
        <v>1</v>
      </c>
      <c r="AA8" s="46">
        <f>IF(Esiehdot!D$8&gt;=IFERROR(VLOOKUP(H8,Valintalistat!G$2:H$5,2,0),99),1,0)</f>
        <v>0</v>
      </c>
      <c r="AB8" s="46">
        <f t="shared" si="2"/>
        <v>1</v>
      </c>
      <c r="AC8" s="46">
        <f>IF(Esiehdot!E$4=IFERROR(VLOOKUP(E8,Valintalistat!D$2:H$7,5,0),99),1,0)</f>
        <v>0</v>
      </c>
      <c r="AD8" s="46">
        <f>IF(Esiehdot!E$5=IFERROR(VLOOKUP(F8,Valintalistat!E$2:H$5,4,0),99),1,0)</f>
        <v>0</v>
      </c>
      <c r="AE8" s="46">
        <f>IF(Esiehdot!E$6=IFERROR(VLOOKUP(G8,Valintalistat!F$2:H$5,3,0),99),1,0)</f>
        <v>0</v>
      </c>
      <c r="AF8" s="46">
        <f>IF(Esiehdot!E$8=IFERROR(VLOOKUP(H8,Valintalistat!G$2:H$3,2,0),98),1,0)</f>
        <v>0</v>
      </c>
      <c r="AG8" s="46">
        <f t="shared" si="3"/>
        <v>0</v>
      </c>
      <c r="AH8" s="46">
        <f>IFERROR(HLOOKUP(Esiehdot!$B$17,Käyttötapauskriteerit!G$1:P8,8,0),1)</f>
        <v>1</v>
      </c>
      <c r="AI8" s="46">
        <f t="shared" si="4"/>
        <v>1</v>
      </c>
      <c r="AJ8" s="46">
        <f t="shared" si="5"/>
        <v>0</v>
      </c>
      <c r="AK8" s="46">
        <f t="shared" si="6"/>
        <v>0</v>
      </c>
      <c r="AL8" s="46">
        <f t="shared" si="7"/>
        <v>0</v>
      </c>
      <c r="AM8" s="46"/>
      <c r="AN8" s="45" t="str">
        <f t="shared" si="8"/>
        <v>Olennainen</v>
      </c>
      <c r="XDQ8" s="5"/>
      <c r="XDR8" s="5"/>
      <c r="XDS8" s="22"/>
      <c r="XDT8" s="22"/>
      <c r="XDU8" s="17"/>
      <c r="XDV8" s="17"/>
      <c r="XDW8" s="17"/>
      <c r="XDX8" s="17"/>
      <c r="XDY8" s="17"/>
      <c r="XDZ8" s="17"/>
      <c r="XEA8" s="17"/>
      <c r="XEB8" s="32"/>
      <c r="XEC8" s="23"/>
      <c r="XED8" s="23"/>
      <c r="XEE8" s="23"/>
      <c r="XEF8" s="9"/>
      <c r="XEG8" s="9"/>
      <c r="XEH8" s="9"/>
      <c r="XEI8" s="9"/>
      <c r="XEK8" s="5"/>
      <c r="XEL8" s="5"/>
      <c r="XEM8" s="22"/>
      <c r="XEN8" s="22"/>
      <c r="XEO8" s="17"/>
      <c r="XEP8" s="17"/>
      <c r="XEQ8" s="17"/>
      <c r="XER8" s="17"/>
      <c r="XES8" s="17"/>
      <c r="XET8" s="17"/>
      <c r="XEU8" s="17"/>
      <c r="XEV8" s="32"/>
      <c r="XEW8" s="23"/>
      <c r="XEX8" s="23"/>
      <c r="XEY8" s="23"/>
      <c r="XEZ8" s="9"/>
      <c r="XFA8" s="9"/>
      <c r="XFB8" s="9"/>
      <c r="XFC8" s="9"/>
    </row>
    <row r="9" spans="1:40 16345:16383" ht="37.5">
      <c r="A9" s="5" t="s">
        <v>32</v>
      </c>
      <c r="B9" s="5" t="s">
        <v>258</v>
      </c>
      <c r="C9" s="22" t="s">
        <v>310</v>
      </c>
      <c r="D9" s="22" t="s">
        <v>292</v>
      </c>
      <c r="E9" s="17" t="s">
        <v>276</v>
      </c>
      <c r="F9" s="17"/>
      <c r="G9" s="17"/>
      <c r="H9" s="17" t="s">
        <v>278</v>
      </c>
      <c r="I9" s="17"/>
      <c r="J9" s="17"/>
      <c r="K9" s="17"/>
      <c r="L9" s="32" t="s">
        <v>311</v>
      </c>
      <c r="M9" s="61" t="s">
        <v>312</v>
      </c>
      <c r="N9" s="23" t="s">
        <v>313</v>
      </c>
      <c r="O9" s="23"/>
      <c r="P9" s="9" t="s">
        <v>314</v>
      </c>
      <c r="Q9" s="9"/>
      <c r="R9" s="9" t="s">
        <v>315</v>
      </c>
      <c r="S9" s="9" t="s">
        <v>309</v>
      </c>
      <c r="U9" s="42" t="str">
        <f t="shared" si="0"/>
        <v>HAL-04.3, L:Salassa pidettävä, E:, S:, TS:Erityinen henkilötietoryhmä</v>
      </c>
      <c r="V9" s="42" t="str">
        <f t="shared" si="1"/>
        <v>Julkri: HAL-06, TEK-06; Katakri: T-08</v>
      </c>
      <c r="W9" s="43">
        <f>IFERROR(VLOOKUP(A9,Esiehdot!A$11:D$15,4,0), 0)</f>
        <v>1</v>
      </c>
      <c r="X9" s="44">
        <f>IF(Esiehdot!D$4&gt;=IFERROR(VLOOKUP(E9,Valintalistat!D$2:H$7,5,0), 99),1,0)</f>
        <v>0</v>
      </c>
      <c r="Y9" s="44">
        <f>IF(Esiehdot!D$5&gt;=IFERROR(VLOOKUP(F9,Valintalistat!E$2:H$5,4,0), 99),1,0)</f>
        <v>0</v>
      </c>
      <c r="Z9" s="44">
        <f>IF(Esiehdot!D$6&gt;=IFERROR(VLOOKUP(G9,Valintalistat!F$2:H$5,3,0),99),1,0)</f>
        <v>0</v>
      </c>
      <c r="AA9" s="44">
        <f>IF(Esiehdot!D$8&gt;=IFERROR(VLOOKUP(H9,Valintalistat!G$2:H$5,2,0),99),1,0)</f>
        <v>0</v>
      </c>
      <c r="AB9" s="43">
        <f t="shared" si="2"/>
        <v>0</v>
      </c>
      <c r="AC9" s="44">
        <f>IF(Esiehdot!E$4=IFERROR(VLOOKUP(E9,Valintalistat!D$2:H$7,5,0),99),1,0)</f>
        <v>1</v>
      </c>
      <c r="AD9" s="44">
        <f>IF(Esiehdot!E$5=IFERROR(VLOOKUP(F9,Valintalistat!E$2:H$5,4,0),99),1,0)</f>
        <v>0</v>
      </c>
      <c r="AE9" s="44">
        <f>IF(Esiehdot!E$6=IFERROR(VLOOKUP(G9,Valintalistat!F$2:H$5,3,0),99),1,0)</f>
        <v>0</v>
      </c>
      <c r="AF9" s="44">
        <f>IF(Esiehdot!E$8=IFERROR(VLOOKUP(H9,Valintalistat!G$2:H$3,2,0),98),1,0)</f>
        <v>0</v>
      </c>
      <c r="AG9" s="43">
        <f t="shared" si="3"/>
        <v>1</v>
      </c>
      <c r="AH9" s="43">
        <f>IFERROR(HLOOKUP(Esiehdot!$B$17,Käyttötapauskriteerit!G$1:P9,9,0),1)</f>
        <v>1</v>
      </c>
      <c r="AI9" s="43">
        <f t="shared" si="4"/>
        <v>0</v>
      </c>
      <c r="AJ9" s="43">
        <f t="shared" si="5"/>
        <v>0</v>
      </c>
      <c r="AK9" s="43">
        <f t="shared" si="6"/>
        <v>1</v>
      </c>
      <c r="AL9" s="43">
        <f t="shared" si="7"/>
        <v>0</v>
      </c>
      <c r="AM9" s="43"/>
      <c r="AN9" s="45" t="str">
        <f t="shared" si="8"/>
        <v>Valinnainen</v>
      </c>
    </row>
    <row r="10" spans="1:40 16345:16383" ht="50.1">
      <c r="A10" s="5" t="s">
        <v>32</v>
      </c>
      <c r="B10" s="5" t="s">
        <v>258</v>
      </c>
      <c r="C10" s="22" t="s">
        <v>316</v>
      </c>
      <c r="D10" s="22" t="s">
        <v>292</v>
      </c>
      <c r="E10" s="17" t="s">
        <v>276</v>
      </c>
      <c r="F10" s="17"/>
      <c r="G10" s="17"/>
      <c r="H10" s="17" t="s">
        <v>278</v>
      </c>
      <c r="I10" s="17"/>
      <c r="J10" s="17"/>
      <c r="K10" s="17"/>
      <c r="L10" s="32" t="s">
        <v>317</v>
      </c>
      <c r="M10" s="61" t="s">
        <v>318</v>
      </c>
      <c r="N10" s="23" t="s">
        <v>319</v>
      </c>
      <c r="O10" s="23"/>
      <c r="P10" s="9" t="s">
        <v>320</v>
      </c>
      <c r="Q10" s="9" t="s">
        <v>321</v>
      </c>
      <c r="R10" s="9"/>
      <c r="S10" s="9" t="s">
        <v>309</v>
      </c>
      <c r="U10" s="42" t="str">
        <f t="shared" si="0"/>
        <v>HAL-04.4, L:Salassa pidettävä, E:, S:, TS:Erityinen henkilötietoryhmä</v>
      </c>
      <c r="V10" s="46" t="str">
        <f t="shared" si="1"/>
        <v>Katakri: T-08</v>
      </c>
      <c r="W10" s="46">
        <f>IFERROR(VLOOKUP(A10,Esiehdot!A$11:D$15,4,0), 0)</f>
        <v>1</v>
      </c>
      <c r="X10" s="46">
        <f>IF(Esiehdot!D$4&gt;=IFERROR(VLOOKUP(E10,Valintalistat!D$2:H$7,5,0), 99),1,0)</f>
        <v>0</v>
      </c>
      <c r="Y10" s="46">
        <f>IF(Esiehdot!D$5&gt;=IFERROR(VLOOKUP(F10,Valintalistat!E$2:H$5,4,0), 99),1,0)</f>
        <v>0</v>
      </c>
      <c r="Z10" s="46">
        <f>IF(Esiehdot!D$6&gt;=IFERROR(VLOOKUP(G10,Valintalistat!F$2:H$5,3,0),99),1,0)</f>
        <v>0</v>
      </c>
      <c r="AA10" s="46">
        <f>IF(Esiehdot!D$8&gt;=IFERROR(VLOOKUP(H10,Valintalistat!G$2:H$5,2,0),99),1,0)</f>
        <v>0</v>
      </c>
      <c r="AB10" s="46">
        <f t="shared" si="2"/>
        <v>0</v>
      </c>
      <c r="AC10" s="46">
        <f>IF(Esiehdot!E$4=IFERROR(VLOOKUP(E10,Valintalistat!D$2:H$7,5,0),99),1,0)</f>
        <v>1</v>
      </c>
      <c r="AD10" s="46">
        <f>IF(Esiehdot!E$5=IFERROR(VLOOKUP(F10,Valintalistat!E$2:H$5,4,0),99),1,0)</f>
        <v>0</v>
      </c>
      <c r="AE10" s="46">
        <f>IF(Esiehdot!E$6=IFERROR(VLOOKUP(G10,Valintalistat!F$2:H$5,3,0),99),1,0)</f>
        <v>0</v>
      </c>
      <c r="AF10" s="46">
        <f>IF(Esiehdot!E$8=IFERROR(VLOOKUP(H10,Valintalistat!G$2:H$3,2,0),98),1,0)</f>
        <v>0</v>
      </c>
      <c r="AG10" s="46">
        <f t="shared" si="3"/>
        <v>1</v>
      </c>
      <c r="AH10" s="46">
        <f>IFERROR(HLOOKUP(Esiehdot!$B$17,Käyttötapauskriteerit!G$1:P10,10,0),1)</f>
        <v>1</v>
      </c>
      <c r="AI10" s="46">
        <f t="shared" si="4"/>
        <v>0</v>
      </c>
      <c r="AJ10" s="46">
        <f t="shared" si="5"/>
        <v>0</v>
      </c>
      <c r="AK10" s="46">
        <f t="shared" si="6"/>
        <v>1</v>
      </c>
      <c r="AL10" s="46">
        <f t="shared" si="7"/>
        <v>0</v>
      </c>
      <c r="AM10" s="46"/>
      <c r="AN10" s="45" t="str">
        <f t="shared" si="8"/>
        <v>Valinnainen</v>
      </c>
      <c r="XEK10" s="5"/>
      <c r="XEL10" s="5"/>
      <c r="XEM10" s="22"/>
      <c r="XEN10" s="22"/>
      <c r="XEO10" s="17"/>
      <c r="XEP10" s="17"/>
      <c r="XEQ10" s="17"/>
      <c r="XER10" s="17"/>
      <c r="XES10" s="17"/>
      <c r="XET10" s="17"/>
      <c r="XEU10" s="17"/>
      <c r="XEV10" s="32"/>
      <c r="XEW10" s="23"/>
      <c r="XEX10" s="23"/>
      <c r="XEY10" s="23"/>
      <c r="XEZ10" s="9"/>
      <c r="XFA10" s="9"/>
      <c r="XFB10" s="9"/>
      <c r="XFC10" s="9"/>
    </row>
    <row r="11" spans="1:40 16345:16383" ht="37.5">
      <c r="A11" s="5" t="s">
        <v>32</v>
      </c>
      <c r="B11" s="5" t="s">
        <v>258</v>
      </c>
      <c r="C11" s="22" t="s">
        <v>322</v>
      </c>
      <c r="D11" s="22" t="s">
        <v>292</v>
      </c>
      <c r="E11" s="17" t="s">
        <v>25</v>
      </c>
      <c r="F11" s="17" t="s">
        <v>27</v>
      </c>
      <c r="G11" s="17" t="s">
        <v>27</v>
      </c>
      <c r="H11" s="17" t="s">
        <v>260</v>
      </c>
      <c r="I11" s="17"/>
      <c r="J11" s="17"/>
      <c r="K11" s="17"/>
      <c r="L11" s="32" t="s">
        <v>323</v>
      </c>
      <c r="M11" s="61" t="s">
        <v>324</v>
      </c>
      <c r="N11" s="23"/>
      <c r="O11" s="23"/>
      <c r="P11" s="9" t="s">
        <v>325</v>
      </c>
      <c r="Q11" s="9"/>
      <c r="R11" s="9"/>
      <c r="S11" s="9"/>
      <c r="U11" s="42" t="str">
        <f t="shared" si="0"/>
        <v>HAL-04.5, L:Julkinen, E:Vähäinen, S:Vähäinen, TS:Henkilötieto</v>
      </c>
      <c r="V11" s="42" t="str">
        <f t="shared" si="1"/>
        <v/>
      </c>
      <c r="W11" s="43">
        <f>IFERROR(VLOOKUP(A11,Esiehdot!A$11:D$15,4,0), 0)</f>
        <v>1</v>
      </c>
      <c r="X11" s="44">
        <f>IF(Esiehdot!D$4&gt;=IFERROR(VLOOKUP(E11,Valintalistat!D$2:H$7,5,0), 99),1,0)</f>
        <v>1</v>
      </c>
      <c r="Y11" s="44">
        <f>IF(Esiehdot!D$5&gt;=IFERROR(VLOOKUP(F11,Valintalistat!E$2:H$5,4,0), 99),1,0)</f>
        <v>1</v>
      </c>
      <c r="Z11" s="44">
        <f>IF(Esiehdot!D$6&gt;=IFERROR(VLOOKUP(G11,Valintalistat!F$2:H$5,3,0),99),1,0)</f>
        <v>1</v>
      </c>
      <c r="AA11" s="44">
        <f>IF(Esiehdot!D$8&gt;=IFERROR(VLOOKUP(H11,Valintalistat!G$2:H$5,2,0),99),1,0)</f>
        <v>0</v>
      </c>
      <c r="AB11" s="43">
        <f t="shared" si="2"/>
        <v>1</v>
      </c>
      <c r="AC11" s="44">
        <f>IF(Esiehdot!E$4=IFERROR(VLOOKUP(E11,Valintalistat!D$2:H$7,5,0),99),1,0)</f>
        <v>0</v>
      </c>
      <c r="AD11" s="44">
        <f>IF(Esiehdot!E$5=IFERROR(VLOOKUP(F11,Valintalistat!E$2:H$5,4,0),99),1,0)</f>
        <v>0</v>
      </c>
      <c r="AE11" s="44">
        <f>IF(Esiehdot!E$6=IFERROR(VLOOKUP(G11,Valintalistat!F$2:H$5,3,0),99),1,0)</f>
        <v>0</v>
      </c>
      <c r="AF11" s="44">
        <f>IF(Esiehdot!E$8=IFERROR(VLOOKUP(H11,Valintalistat!G$2:H$3,2,0),98),1,0)</f>
        <v>0</v>
      </c>
      <c r="AG11" s="43">
        <f t="shared" si="3"/>
        <v>0</v>
      </c>
      <c r="AH11" s="43">
        <f>IFERROR(HLOOKUP(Esiehdot!$B$17,Käyttötapauskriteerit!G$1:P11,11,0),1)</f>
        <v>1</v>
      </c>
      <c r="AI11" s="43">
        <f t="shared" si="4"/>
        <v>1</v>
      </c>
      <c r="AJ11" s="43">
        <f t="shared" si="5"/>
        <v>0</v>
      </c>
      <c r="AK11" s="43">
        <f t="shared" si="6"/>
        <v>0</v>
      </c>
      <c r="AL11" s="43">
        <f t="shared" si="7"/>
        <v>0</v>
      </c>
      <c r="AM11" s="43"/>
      <c r="AN11" s="45" t="str">
        <f t="shared" si="8"/>
        <v>Olennainen</v>
      </c>
    </row>
    <row r="12" spans="1:40 16345:16383" ht="37.5">
      <c r="A12" s="5" t="s">
        <v>32</v>
      </c>
      <c r="B12" s="5" t="s">
        <v>258</v>
      </c>
      <c r="C12" s="22" t="s">
        <v>326</v>
      </c>
      <c r="D12" s="22" t="s">
        <v>292</v>
      </c>
      <c r="E12" s="17" t="s">
        <v>25</v>
      </c>
      <c r="F12" s="17" t="s">
        <v>27</v>
      </c>
      <c r="G12" s="17" t="s">
        <v>27</v>
      </c>
      <c r="H12" s="17" t="s">
        <v>260</v>
      </c>
      <c r="I12" s="17"/>
      <c r="J12" s="17"/>
      <c r="K12" s="17"/>
      <c r="L12" s="32" t="s">
        <v>327</v>
      </c>
      <c r="M12" s="61" t="s">
        <v>328</v>
      </c>
      <c r="N12" s="23"/>
      <c r="O12" s="23"/>
      <c r="P12" s="9" t="s">
        <v>325</v>
      </c>
      <c r="Q12" s="9"/>
      <c r="R12" s="9"/>
      <c r="S12" s="9"/>
      <c r="U12" s="42" t="str">
        <f t="shared" si="0"/>
        <v>HAL-04.6, L:Julkinen, E:Vähäinen, S:Vähäinen, TS:Henkilötieto</v>
      </c>
      <c r="V12" s="42" t="str">
        <f t="shared" si="1"/>
        <v/>
      </c>
      <c r="W12" s="43">
        <f>IFERROR(VLOOKUP(A12,Esiehdot!A$11:D$15,4,0), 0)</f>
        <v>1</v>
      </c>
      <c r="X12" s="44">
        <f>IF(Esiehdot!D$4&gt;=IFERROR(VLOOKUP(E12,Valintalistat!D$2:H$7,5,0), 99),1,0)</f>
        <v>1</v>
      </c>
      <c r="Y12" s="44">
        <f>IF(Esiehdot!D$5&gt;=IFERROR(VLOOKUP(F12,Valintalistat!E$2:H$5,4,0), 99),1,0)</f>
        <v>1</v>
      </c>
      <c r="Z12" s="44">
        <f>IF(Esiehdot!D$6&gt;=IFERROR(VLOOKUP(G12,Valintalistat!F$2:H$5,3,0),99),1,0)</f>
        <v>1</v>
      </c>
      <c r="AA12" s="44">
        <f>IF(Esiehdot!D$8&gt;=IFERROR(VLOOKUP(H12,Valintalistat!G$2:H$5,2,0),99),1,0)</f>
        <v>0</v>
      </c>
      <c r="AB12" s="43">
        <f t="shared" si="2"/>
        <v>1</v>
      </c>
      <c r="AC12" s="44">
        <f>IF(Esiehdot!E$4=IFERROR(VLOOKUP(E12,Valintalistat!D$2:H$7,5,0),99),1,0)</f>
        <v>0</v>
      </c>
      <c r="AD12" s="44">
        <f>IF(Esiehdot!E$5=IFERROR(VLOOKUP(F12,Valintalistat!E$2:H$5,4,0),99),1,0)</f>
        <v>0</v>
      </c>
      <c r="AE12" s="44">
        <f>IF(Esiehdot!E$6=IFERROR(VLOOKUP(G12,Valintalistat!F$2:H$5,3,0),99),1,0)</f>
        <v>0</v>
      </c>
      <c r="AF12" s="44">
        <f>IF(Esiehdot!E$8=IFERROR(VLOOKUP(H12,Valintalistat!G$2:H$3,2,0),98),1,0)</f>
        <v>0</v>
      </c>
      <c r="AG12" s="43">
        <f t="shared" si="3"/>
        <v>0</v>
      </c>
      <c r="AH12" s="43">
        <f>IFERROR(HLOOKUP(Esiehdot!$B$17,Käyttötapauskriteerit!G$1:P12,12,0),1)</f>
        <v>1</v>
      </c>
      <c r="AI12" s="43">
        <f t="shared" si="4"/>
        <v>1</v>
      </c>
      <c r="AJ12" s="43">
        <f t="shared" si="5"/>
        <v>0</v>
      </c>
      <c r="AK12" s="43">
        <f t="shared" si="6"/>
        <v>0</v>
      </c>
      <c r="AL12" s="43">
        <f t="shared" si="7"/>
        <v>0</v>
      </c>
      <c r="AM12" s="43"/>
      <c r="AN12" s="45" t="str">
        <f t="shared" si="8"/>
        <v>Olennainen</v>
      </c>
    </row>
    <row r="13" spans="1:40 16345:16383" ht="50.1">
      <c r="A13" s="5" t="s">
        <v>32</v>
      </c>
      <c r="B13" s="5" t="s">
        <v>258</v>
      </c>
      <c r="C13" s="22" t="s">
        <v>329</v>
      </c>
      <c r="E13" s="17" t="s">
        <v>25</v>
      </c>
      <c r="F13" s="17" t="s">
        <v>27</v>
      </c>
      <c r="G13" s="17" t="s">
        <v>27</v>
      </c>
      <c r="H13" s="17" t="s">
        <v>260</v>
      </c>
      <c r="I13" s="17"/>
      <c r="J13" s="17"/>
      <c r="K13" s="17"/>
      <c r="L13" s="32" t="s">
        <v>330</v>
      </c>
      <c r="M13" s="61" t="s">
        <v>331</v>
      </c>
      <c r="N13" s="23" t="s">
        <v>332</v>
      </c>
      <c r="O13" s="23"/>
      <c r="P13" s="9" t="s">
        <v>333</v>
      </c>
      <c r="Q13" s="9" t="s">
        <v>334</v>
      </c>
      <c r="R13" s="9"/>
      <c r="S13" s="9"/>
      <c r="U13" s="42" t="str">
        <f t="shared" si="0"/>
        <v>HAL-05, L:Julkinen, E:Vähäinen, S:Vähäinen, TS:Henkilötieto</v>
      </c>
      <c r="V13" s="42" t="str">
        <f t="shared" si="1"/>
        <v/>
      </c>
      <c r="W13" s="43">
        <f>IFERROR(VLOOKUP(A13,Esiehdot!A$11:D$15,4,0), 0)</f>
        <v>1</v>
      </c>
      <c r="X13" s="44">
        <f>IF(Esiehdot!D$4&gt;=IFERROR(VLOOKUP(E13,Valintalistat!D$2:H$7,5,0), 99),1,0)</f>
        <v>1</v>
      </c>
      <c r="Y13" s="44">
        <f>IF(Esiehdot!D$5&gt;=IFERROR(VLOOKUP(F13,Valintalistat!E$2:H$5,4,0), 99),1,0)</f>
        <v>1</v>
      </c>
      <c r="Z13" s="44">
        <f>IF(Esiehdot!D$6&gt;=IFERROR(VLOOKUP(G13,Valintalistat!F$2:H$5,3,0),99),1,0)</f>
        <v>1</v>
      </c>
      <c r="AA13" s="44">
        <f>IF(Esiehdot!D$8&gt;=IFERROR(VLOOKUP(H13,Valintalistat!G$2:H$5,2,0),99),1,0)</f>
        <v>0</v>
      </c>
      <c r="AB13" s="43">
        <f t="shared" si="2"/>
        <v>1</v>
      </c>
      <c r="AC13" s="44">
        <f>IF(Esiehdot!E$4=IFERROR(VLOOKUP(E13,Valintalistat!D$2:H$7,5,0),99),1,0)</f>
        <v>0</v>
      </c>
      <c r="AD13" s="44">
        <f>IF(Esiehdot!E$5=IFERROR(VLOOKUP(F13,Valintalistat!E$2:H$5,4,0),99),1,0)</f>
        <v>0</v>
      </c>
      <c r="AE13" s="44">
        <f>IF(Esiehdot!E$6=IFERROR(VLOOKUP(G13,Valintalistat!F$2:H$5,3,0),99),1,0)</f>
        <v>0</v>
      </c>
      <c r="AF13" s="44">
        <f>IF(Esiehdot!E$8=IFERROR(VLOOKUP(H13,Valintalistat!G$2:H$3,2,0),98),1,0)</f>
        <v>0</v>
      </c>
      <c r="AG13" s="43">
        <f t="shared" si="3"/>
        <v>0</v>
      </c>
      <c r="AH13" s="43">
        <f>IFERROR(HLOOKUP(Esiehdot!$B$17,Käyttötapauskriteerit!G$1:P13,13,0),1)</f>
        <v>1</v>
      </c>
      <c r="AI13" s="43">
        <f t="shared" si="4"/>
        <v>1</v>
      </c>
      <c r="AJ13" s="43">
        <f t="shared" si="5"/>
        <v>0</v>
      </c>
      <c r="AK13" s="43">
        <f t="shared" si="6"/>
        <v>0</v>
      </c>
      <c r="AL13" s="43">
        <f t="shared" si="7"/>
        <v>0</v>
      </c>
      <c r="AM13" s="43"/>
      <c r="AN13" s="45" t="str">
        <f t="shared" si="8"/>
        <v>Olennainen</v>
      </c>
    </row>
    <row r="14" spans="1:40 16345:16383" ht="62.45">
      <c r="A14" s="5" t="s">
        <v>32</v>
      </c>
      <c r="B14" s="5" t="s">
        <v>258</v>
      </c>
      <c r="C14" s="22" t="s">
        <v>335</v>
      </c>
      <c r="D14" s="22" t="s">
        <v>329</v>
      </c>
      <c r="E14" s="17" t="s">
        <v>25</v>
      </c>
      <c r="F14" s="17" t="s">
        <v>27</v>
      </c>
      <c r="G14" s="17" t="s">
        <v>27</v>
      </c>
      <c r="H14" s="17" t="s">
        <v>260</v>
      </c>
      <c r="I14" s="17"/>
      <c r="J14" s="17"/>
      <c r="K14" s="17"/>
      <c r="L14" s="32" t="s">
        <v>336</v>
      </c>
      <c r="M14" s="61" t="s">
        <v>337</v>
      </c>
      <c r="N14" s="23" t="s">
        <v>338</v>
      </c>
      <c r="O14" s="23"/>
      <c r="P14" s="9" t="s">
        <v>339</v>
      </c>
      <c r="Q14" s="9" t="s">
        <v>340</v>
      </c>
      <c r="R14" s="9"/>
      <c r="S14" s="9"/>
      <c r="U14" s="42" t="str">
        <f t="shared" si="0"/>
        <v>HAL-05.1, L:Julkinen, E:Vähäinen, S:Vähäinen, TS:Henkilötieto</v>
      </c>
      <c r="V14" s="42" t="str">
        <f t="shared" si="1"/>
        <v/>
      </c>
      <c r="W14" s="43">
        <f>IFERROR(VLOOKUP(A14,Esiehdot!A$11:D$15,4,0), 0)</f>
        <v>1</v>
      </c>
      <c r="X14" s="44">
        <f>IF(Esiehdot!D$4&gt;=IFERROR(VLOOKUP(E14,Valintalistat!D$2:H$7,5,0), 99),1,0)</f>
        <v>1</v>
      </c>
      <c r="Y14" s="44">
        <f>IF(Esiehdot!D$5&gt;=IFERROR(VLOOKUP(F14,Valintalistat!E$2:H$5,4,0), 99),1,0)</f>
        <v>1</v>
      </c>
      <c r="Z14" s="44">
        <f>IF(Esiehdot!D$6&gt;=IFERROR(VLOOKUP(G14,Valintalistat!F$2:H$5,3,0),99),1,0)</f>
        <v>1</v>
      </c>
      <c r="AA14" s="44">
        <f>IF(Esiehdot!D$8&gt;=IFERROR(VLOOKUP(H14,Valintalistat!G$2:H$5,2,0),99),1,0)</f>
        <v>0</v>
      </c>
      <c r="AB14" s="43">
        <f t="shared" si="2"/>
        <v>1</v>
      </c>
      <c r="AC14" s="44">
        <f>IF(Esiehdot!E$4=IFERROR(VLOOKUP(E14,Valintalistat!D$2:H$7,5,0),99),1,0)</f>
        <v>0</v>
      </c>
      <c r="AD14" s="44">
        <f>IF(Esiehdot!E$5=IFERROR(VLOOKUP(F14,Valintalistat!E$2:H$5,4,0),99),1,0)</f>
        <v>0</v>
      </c>
      <c r="AE14" s="44">
        <f>IF(Esiehdot!E$6=IFERROR(VLOOKUP(G14,Valintalistat!F$2:H$5,3,0),99),1,0)</f>
        <v>0</v>
      </c>
      <c r="AF14" s="44">
        <f>IF(Esiehdot!E$8=IFERROR(VLOOKUP(H14,Valintalistat!G$2:H$3,2,0),98),1,0)</f>
        <v>0</v>
      </c>
      <c r="AG14" s="43">
        <f t="shared" si="3"/>
        <v>0</v>
      </c>
      <c r="AH14" s="43">
        <f>IFERROR(HLOOKUP(Esiehdot!$B$17,Käyttötapauskriteerit!G$1:P14,14,0),1)</f>
        <v>1</v>
      </c>
      <c r="AI14" s="43">
        <f t="shared" si="4"/>
        <v>1</v>
      </c>
      <c r="AJ14" s="43">
        <f t="shared" si="5"/>
        <v>0</v>
      </c>
      <c r="AK14" s="43">
        <f t="shared" si="6"/>
        <v>0</v>
      </c>
      <c r="AL14" s="43">
        <f t="shared" si="7"/>
        <v>0</v>
      </c>
      <c r="AM14" s="43"/>
      <c r="AN14" s="45" t="str">
        <f t="shared" si="8"/>
        <v>Olennainen</v>
      </c>
    </row>
    <row r="15" spans="1:40 16345:16383" ht="50.1">
      <c r="A15" s="5" t="s">
        <v>32</v>
      </c>
      <c r="B15" s="5" t="s">
        <v>258</v>
      </c>
      <c r="C15" s="22" t="s">
        <v>341</v>
      </c>
      <c r="D15" s="22" t="s">
        <v>329</v>
      </c>
      <c r="E15" s="17" t="s">
        <v>25</v>
      </c>
      <c r="F15" s="17" t="s">
        <v>27</v>
      </c>
      <c r="G15" s="17" t="s">
        <v>27</v>
      </c>
      <c r="H15" s="17" t="s">
        <v>260</v>
      </c>
      <c r="I15" s="17"/>
      <c r="J15" s="17"/>
      <c r="K15" s="17"/>
      <c r="L15" s="32" t="s">
        <v>342</v>
      </c>
      <c r="M15" s="61" t="s">
        <v>343</v>
      </c>
      <c r="N15" s="23" t="s">
        <v>344</v>
      </c>
      <c r="O15" s="23"/>
      <c r="P15" s="9" t="s">
        <v>325</v>
      </c>
      <c r="Q15" s="9" t="s">
        <v>345</v>
      </c>
      <c r="R15" s="9"/>
      <c r="S15" s="9"/>
      <c r="U15" s="42" t="str">
        <f t="shared" si="0"/>
        <v>HAL-05.2, L:Julkinen, E:Vähäinen, S:Vähäinen, TS:Henkilötieto</v>
      </c>
      <c r="V15" s="42" t="str">
        <f t="shared" si="1"/>
        <v/>
      </c>
      <c r="W15" s="43">
        <f>IFERROR(VLOOKUP(A15,Esiehdot!A$11:D$15,4,0), 0)</f>
        <v>1</v>
      </c>
      <c r="X15" s="44">
        <f>IF(Esiehdot!D$4&gt;=IFERROR(VLOOKUP(E15,Valintalistat!D$2:H$7,5,0), 99),1,0)</f>
        <v>1</v>
      </c>
      <c r="Y15" s="44">
        <f>IF(Esiehdot!D$5&gt;=IFERROR(VLOOKUP(F15,Valintalistat!E$2:H$5,4,0), 99),1,0)</f>
        <v>1</v>
      </c>
      <c r="Z15" s="44">
        <f>IF(Esiehdot!D$6&gt;=IFERROR(VLOOKUP(G15,Valintalistat!F$2:H$5,3,0),99),1,0)</f>
        <v>1</v>
      </c>
      <c r="AA15" s="44">
        <f>IF(Esiehdot!D$8&gt;=IFERROR(VLOOKUP(H15,Valintalistat!G$2:H$5,2,0),99),1,0)</f>
        <v>0</v>
      </c>
      <c r="AB15" s="43">
        <f t="shared" si="2"/>
        <v>1</v>
      </c>
      <c r="AC15" s="44">
        <f>IF(Esiehdot!E$4=IFERROR(VLOOKUP(E15,Valintalistat!D$2:H$7,5,0),99),1,0)</f>
        <v>0</v>
      </c>
      <c r="AD15" s="44">
        <f>IF(Esiehdot!E$5=IFERROR(VLOOKUP(F15,Valintalistat!E$2:H$5,4,0),99),1,0)</f>
        <v>0</v>
      </c>
      <c r="AE15" s="44">
        <f>IF(Esiehdot!E$6=IFERROR(VLOOKUP(G15,Valintalistat!F$2:H$5,3,0),99),1,0)</f>
        <v>0</v>
      </c>
      <c r="AF15" s="44">
        <f>IF(Esiehdot!E$8=IFERROR(VLOOKUP(H15,Valintalistat!G$2:H$3,2,0),98),1,0)</f>
        <v>0</v>
      </c>
      <c r="AG15" s="43">
        <f t="shared" si="3"/>
        <v>0</v>
      </c>
      <c r="AH15" s="43">
        <f>IFERROR(HLOOKUP(Esiehdot!$B$17,Käyttötapauskriteerit!G$1:P15,15,0),1)</f>
        <v>1</v>
      </c>
      <c r="AI15" s="43">
        <f t="shared" si="4"/>
        <v>1</v>
      </c>
      <c r="AJ15" s="43">
        <f t="shared" si="5"/>
        <v>0</v>
      </c>
      <c r="AK15" s="43">
        <f t="shared" si="6"/>
        <v>0</v>
      </c>
      <c r="AL15" s="43">
        <f t="shared" si="7"/>
        <v>0</v>
      </c>
      <c r="AM15" s="43"/>
      <c r="AN15" s="45" t="str">
        <f t="shared" si="8"/>
        <v>Olennainen</v>
      </c>
    </row>
    <row r="16" spans="1:40 16345:16383" ht="62.45">
      <c r="A16" s="5" t="s">
        <v>32</v>
      </c>
      <c r="B16" s="5" t="s">
        <v>258</v>
      </c>
      <c r="C16" s="22" t="s">
        <v>346</v>
      </c>
      <c r="E16" s="17" t="s">
        <v>25</v>
      </c>
      <c r="F16" s="17" t="s">
        <v>27</v>
      </c>
      <c r="G16" s="17" t="s">
        <v>27</v>
      </c>
      <c r="H16" s="17" t="s">
        <v>260</v>
      </c>
      <c r="I16" s="17"/>
      <c r="J16" s="17"/>
      <c r="K16" s="17"/>
      <c r="L16" s="32" t="s">
        <v>347</v>
      </c>
      <c r="M16" s="61" t="s">
        <v>348</v>
      </c>
      <c r="N16" s="23" t="s">
        <v>349</v>
      </c>
      <c r="O16" s="23" t="s">
        <v>350</v>
      </c>
      <c r="P16" s="9" t="s">
        <v>351</v>
      </c>
      <c r="Q16" s="9" t="s">
        <v>352</v>
      </c>
      <c r="R16" s="9" t="s">
        <v>353</v>
      </c>
      <c r="S16" s="9" t="s">
        <v>354</v>
      </c>
      <c r="U16" s="42" t="str">
        <f t="shared" si="0"/>
        <v>HAL-06, L:Julkinen, E:Vähäinen, S:Vähäinen, TS:Henkilötieto</v>
      </c>
      <c r="V16" s="42" t="str">
        <f t="shared" si="1"/>
        <v>Julkri: FYY-01, TEK-01, TEK-14, TEK-16; Katakri: T-03</v>
      </c>
      <c r="W16" s="43">
        <f>IFERROR(VLOOKUP(A16,Esiehdot!A$11:D$15,4,0), 0)</f>
        <v>1</v>
      </c>
      <c r="X16" s="44">
        <f>IF(Esiehdot!D$4&gt;=IFERROR(VLOOKUP(E16,Valintalistat!D$2:H$7,5,0), 99),1,0)</f>
        <v>1</v>
      </c>
      <c r="Y16" s="44">
        <f>IF(Esiehdot!D$5&gt;=IFERROR(VLOOKUP(F16,Valintalistat!E$2:H$5,4,0), 99),1,0)</f>
        <v>1</v>
      </c>
      <c r="Z16" s="44">
        <f>IF(Esiehdot!D$6&gt;=IFERROR(VLOOKUP(G16,Valintalistat!F$2:H$5,3,0),99),1,0)</f>
        <v>1</v>
      </c>
      <c r="AA16" s="44">
        <f>IF(Esiehdot!D$8&gt;=IFERROR(VLOOKUP(H16,Valintalistat!G$2:H$5,2,0),99),1,0)</f>
        <v>0</v>
      </c>
      <c r="AB16" s="43">
        <f t="shared" si="2"/>
        <v>1</v>
      </c>
      <c r="AC16" s="44">
        <f>IF(Esiehdot!E$4=IFERROR(VLOOKUP(E16,Valintalistat!D$2:H$7,5,0),99),1,0)</f>
        <v>0</v>
      </c>
      <c r="AD16" s="44">
        <f>IF(Esiehdot!E$5=IFERROR(VLOOKUP(F16,Valintalistat!E$2:H$5,4,0),99),1,0)</f>
        <v>0</v>
      </c>
      <c r="AE16" s="44">
        <f>IF(Esiehdot!E$6=IFERROR(VLOOKUP(G16,Valintalistat!F$2:H$5,3,0),99),1,0)</f>
        <v>0</v>
      </c>
      <c r="AF16" s="44">
        <f>IF(Esiehdot!E$8=IFERROR(VLOOKUP(H16,Valintalistat!G$2:H$3,2,0),98),1,0)</f>
        <v>0</v>
      </c>
      <c r="AG16" s="43">
        <f t="shared" si="3"/>
        <v>0</v>
      </c>
      <c r="AH16" s="43">
        <f>IFERROR(HLOOKUP(Esiehdot!$B$17,Käyttötapauskriteerit!G$1:P16,16,0),1)</f>
        <v>1</v>
      </c>
      <c r="AI16" s="43">
        <f t="shared" si="4"/>
        <v>1</v>
      </c>
      <c r="AJ16" s="43">
        <f t="shared" si="5"/>
        <v>0</v>
      </c>
      <c r="AK16" s="43">
        <f t="shared" si="6"/>
        <v>0</v>
      </c>
      <c r="AL16" s="43">
        <f t="shared" si="7"/>
        <v>0</v>
      </c>
      <c r="AM16" s="43"/>
      <c r="AN16" s="45" t="str">
        <f t="shared" si="8"/>
        <v>Olennainen</v>
      </c>
    </row>
    <row r="17" spans="1:40 16365:16383" ht="37.5">
      <c r="A17" s="5" t="s">
        <v>32</v>
      </c>
      <c r="B17" s="5" t="s">
        <v>258</v>
      </c>
      <c r="C17" s="22" t="s">
        <v>355</v>
      </c>
      <c r="D17" s="22" t="s">
        <v>346</v>
      </c>
      <c r="E17" s="17" t="s">
        <v>276</v>
      </c>
      <c r="F17" s="17"/>
      <c r="G17" s="17"/>
      <c r="H17" s="17" t="s">
        <v>260</v>
      </c>
      <c r="I17" s="17"/>
      <c r="J17" s="17"/>
      <c r="K17" s="17"/>
      <c r="L17" s="32" t="s">
        <v>356</v>
      </c>
      <c r="M17" s="61" t="s">
        <v>357</v>
      </c>
      <c r="N17" s="23" t="s">
        <v>358</v>
      </c>
      <c r="O17" s="23" t="s">
        <v>359</v>
      </c>
      <c r="P17" s="9" t="s">
        <v>351</v>
      </c>
      <c r="Q17" s="9" t="s">
        <v>360</v>
      </c>
      <c r="R17" s="9" t="s">
        <v>361</v>
      </c>
      <c r="S17" s="9" t="s">
        <v>354</v>
      </c>
      <c r="U17" s="42" t="str">
        <f t="shared" si="0"/>
        <v>HAL-06.1, L:Salassa pidettävä, E:, S:, TS:Henkilötieto</v>
      </c>
      <c r="V17" s="46" t="str">
        <f t="shared" si="1"/>
        <v>Julkri: FYY-01, TEK-01, TEK-14, TEK-16, TSU-18; Katakri: T-03</v>
      </c>
      <c r="W17" s="46">
        <f>IFERROR(VLOOKUP(A17,Esiehdot!A$11:D$15,4,0), 0)</f>
        <v>1</v>
      </c>
      <c r="X17" s="46">
        <f>IF(Esiehdot!D$4&gt;=IFERROR(VLOOKUP(E17,Valintalistat!D$2:H$7,5,0), 99),1,0)</f>
        <v>0</v>
      </c>
      <c r="Y17" s="46">
        <f>IF(Esiehdot!D$5&gt;=IFERROR(VLOOKUP(F17,Valintalistat!E$2:H$5,4,0), 99),1,0)</f>
        <v>0</v>
      </c>
      <c r="Z17" s="46">
        <f>IF(Esiehdot!D$6&gt;=IFERROR(VLOOKUP(G17,Valintalistat!F$2:H$5,3,0),99),1,0)</f>
        <v>0</v>
      </c>
      <c r="AA17" s="46">
        <f>IF(Esiehdot!D$8&gt;=IFERROR(VLOOKUP(H17,Valintalistat!G$2:H$5,2,0),99),1,0)</f>
        <v>0</v>
      </c>
      <c r="AB17" s="46">
        <f t="shared" si="2"/>
        <v>0</v>
      </c>
      <c r="AC17" s="46">
        <f>IF(Esiehdot!E$4=IFERROR(VLOOKUP(E17,Valintalistat!D$2:H$7,5,0),99),1,0)</f>
        <v>1</v>
      </c>
      <c r="AD17" s="46">
        <f>IF(Esiehdot!E$5=IFERROR(VLOOKUP(F17,Valintalistat!E$2:H$5,4,0),99),1,0)</f>
        <v>0</v>
      </c>
      <c r="AE17" s="46">
        <f>IF(Esiehdot!E$6=IFERROR(VLOOKUP(G17,Valintalistat!F$2:H$5,3,0),99),1,0)</f>
        <v>0</v>
      </c>
      <c r="AF17" s="46">
        <f>IF(Esiehdot!E$8=IFERROR(VLOOKUP(H17,Valintalistat!G$2:H$3,2,0),98),1,0)</f>
        <v>0</v>
      </c>
      <c r="AG17" s="46">
        <f t="shared" si="3"/>
        <v>1</v>
      </c>
      <c r="AH17" s="46">
        <f>IFERROR(HLOOKUP(Esiehdot!$B$17,Käyttötapauskriteerit!G$1:P17,17,0),1)</f>
        <v>1</v>
      </c>
      <c r="AI17" s="46">
        <f t="shared" si="4"/>
        <v>0</v>
      </c>
      <c r="AJ17" s="46">
        <f t="shared" si="5"/>
        <v>0</v>
      </c>
      <c r="AK17" s="46">
        <f t="shared" si="6"/>
        <v>1</v>
      </c>
      <c r="AL17" s="46">
        <f t="shared" si="7"/>
        <v>0</v>
      </c>
      <c r="AM17" s="46"/>
      <c r="AN17" s="45" t="str">
        <f t="shared" si="8"/>
        <v>Valinnainen</v>
      </c>
      <c r="XEK17" s="5"/>
      <c r="XEL17" s="5"/>
      <c r="XEM17" s="22"/>
      <c r="XEN17" s="22"/>
      <c r="XEO17" s="17"/>
      <c r="XEP17" s="17"/>
      <c r="XEQ17" s="17"/>
      <c r="XER17" s="17"/>
      <c r="XES17" s="17"/>
      <c r="XET17" s="17"/>
      <c r="XEU17" s="17"/>
      <c r="XEV17" s="32"/>
      <c r="XEW17" s="23"/>
      <c r="XEX17" s="23"/>
      <c r="XEY17" s="23"/>
      <c r="XEZ17" s="9"/>
      <c r="XFA17" s="9"/>
      <c r="XFB17" s="9"/>
      <c r="XFC17" s="9"/>
    </row>
    <row r="18" spans="1:40 16365:16383" ht="50.1">
      <c r="A18" s="5" t="s">
        <v>32</v>
      </c>
      <c r="B18" s="5" t="s">
        <v>258</v>
      </c>
      <c r="C18" s="22" t="s">
        <v>362</v>
      </c>
      <c r="E18" s="17" t="s">
        <v>25</v>
      </c>
      <c r="F18" s="17" t="s">
        <v>27</v>
      </c>
      <c r="G18" s="17" t="s">
        <v>27</v>
      </c>
      <c r="H18" s="17" t="s">
        <v>260</v>
      </c>
      <c r="I18" s="17"/>
      <c r="J18" s="17"/>
      <c r="K18" s="17"/>
      <c r="L18" s="32" t="s">
        <v>363</v>
      </c>
      <c r="M18" s="61" t="s">
        <v>364</v>
      </c>
      <c r="N18" s="23" t="s">
        <v>365</v>
      </c>
      <c r="O18" s="23" t="s">
        <v>366</v>
      </c>
      <c r="P18" s="9" t="s">
        <v>367</v>
      </c>
      <c r="Q18" s="9" t="s">
        <v>368</v>
      </c>
      <c r="R18" s="9"/>
      <c r="S18" s="9" t="s">
        <v>369</v>
      </c>
      <c r="U18" s="42" t="str">
        <f t="shared" si="0"/>
        <v>HAL-07, L:Julkinen, E:Vähäinen, S:Vähäinen, TS:Henkilötieto</v>
      </c>
      <c r="V18" s="42" t="str">
        <f t="shared" si="1"/>
        <v>Katakri: T-01, I-19</v>
      </c>
      <c r="W18" s="43">
        <f>IFERROR(VLOOKUP(A18,Esiehdot!A$11:D$15,4,0), 0)</f>
        <v>1</v>
      </c>
      <c r="X18" s="44">
        <f>IF(Esiehdot!D$4&gt;=IFERROR(VLOOKUP(E18,Valintalistat!D$2:H$7,5,0), 99),1,0)</f>
        <v>1</v>
      </c>
      <c r="Y18" s="44">
        <f>IF(Esiehdot!D$5&gt;=IFERROR(VLOOKUP(F18,Valintalistat!E$2:H$5,4,0), 99),1,0)</f>
        <v>1</v>
      </c>
      <c r="Z18" s="44">
        <f>IF(Esiehdot!D$6&gt;=IFERROR(VLOOKUP(G18,Valintalistat!F$2:H$5,3,0),99),1,0)</f>
        <v>1</v>
      </c>
      <c r="AA18" s="44">
        <f>IF(Esiehdot!D$8&gt;=IFERROR(VLOOKUP(H18,Valintalistat!G$2:H$5,2,0),99),1,0)</f>
        <v>0</v>
      </c>
      <c r="AB18" s="43">
        <f t="shared" si="2"/>
        <v>1</v>
      </c>
      <c r="AC18" s="44">
        <f>IF(Esiehdot!E$4=IFERROR(VLOOKUP(E18,Valintalistat!D$2:H$7,5,0),99),1,0)</f>
        <v>0</v>
      </c>
      <c r="AD18" s="44">
        <f>IF(Esiehdot!E$5=IFERROR(VLOOKUP(F18,Valintalistat!E$2:H$5,4,0),99),1,0)</f>
        <v>0</v>
      </c>
      <c r="AE18" s="44">
        <f>IF(Esiehdot!E$6=IFERROR(VLOOKUP(G18,Valintalistat!F$2:H$5,3,0),99),1,0)</f>
        <v>0</v>
      </c>
      <c r="AF18" s="44">
        <f>IF(Esiehdot!E$8=IFERROR(VLOOKUP(H18,Valintalistat!G$2:H$3,2,0),98),1,0)</f>
        <v>0</v>
      </c>
      <c r="AG18" s="43">
        <f t="shared" si="3"/>
        <v>0</v>
      </c>
      <c r="AH18" s="43">
        <f>IFERROR(HLOOKUP(Esiehdot!$B$17,Käyttötapauskriteerit!G$1:P18,18,0),1)</f>
        <v>1</v>
      </c>
      <c r="AI18" s="43">
        <f t="shared" si="4"/>
        <v>1</v>
      </c>
      <c r="AJ18" s="43">
        <f t="shared" si="5"/>
        <v>0</v>
      </c>
      <c r="AK18" s="43">
        <f t="shared" si="6"/>
        <v>0</v>
      </c>
      <c r="AL18" s="43">
        <f t="shared" si="7"/>
        <v>0</v>
      </c>
      <c r="AM18" s="43"/>
      <c r="AN18" s="45" t="str">
        <f t="shared" si="8"/>
        <v>Olennainen</v>
      </c>
    </row>
    <row r="19" spans="1:40 16365:16383" ht="50.1">
      <c r="A19" s="5" t="s">
        <v>32</v>
      </c>
      <c r="B19" s="5" t="s">
        <v>258</v>
      </c>
      <c r="C19" s="22" t="s">
        <v>370</v>
      </c>
      <c r="D19" s="22" t="s">
        <v>362</v>
      </c>
      <c r="E19" s="17" t="s">
        <v>25</v>
      </c>
      <c r="F19" s="17" t="s">
        <v>27</v>
      </c>
      <c r="G19" s="17" t="s">
        <v>27</v>
      </c>
      <c r="H19" s="17" t="s">
        <v>260</v>
      </c>
      <c r="I19" s="17"/>
      <c r="J19" s="17"/>
      <c r="K19" s="17"/>
      <c r="L19" s="32" t="s">
        <v>371</v>
      </c>
      <c r="M19" s="61" t="s">
        <v>372</v>
      </c>
      <c r="N19" s="23" t="s">
        <v>373</v>
      </c>
      <c r="O19" s="23" t="s">
        <v>374</v>
      </c>
      <c r="P19" s="9" t="s">
        <v>375</v>
      </c>
      <c r="Q19" s="9" t="s">
        <v>376</v>
      </c>
      <c r="R19" s="9"/>
      <c r="S19" s="9" t="s">
        <v>377</v>
      </c>
      <c r="U19" s="42" t="str">
        <f t="shared" si="0"/>
        <v>HAL-07.1, L:Julkinen, E:Vähäinen, S:Vähäinen, TS:Henkilötieto</v>
      </c>
      <c r="V19" s="42" t="str">
        <f t="shared" si="1"/>
        <v>Katakri: I-10</v>
      </c>
      <c r="W19" s="43">
        <f>IFERROR(VLOOKUP(A19,Esiehdot!A$11:D$15,4,0), 0)</f>
        <v>1</v>
      </c>
      <c r="X19" s="44">
        <f>IF(Esiehdot!D$4&gt;=IFERROR(VLOOKUP(E19,Valintalistat!D$2:H$7,5,0), 99),1,0)</f>
        <v>1</v>
      </c>
      <c r="Y19" s="44">
        <f>IF(Esiehdot!D$5&gt;=IFERROR(VLOOKUP(F19,Valintalistat!E$2:H$5,4,0), 99),1,0)</f>
        <v>1</v>
      </c>
      <c r="Z19" s="44">
        <f>IF(Esiehdot!D$6&gt;=IFERROR(VLOOKUP(G19,Valintalistat!F$2:H$5,3,0),99),1,0)</f>
        <v>1</v>
      </c>
      <c r="AA19" s="44">
        <f>IF(Esiehdot!D$8&gt;=IFERROR(VLOOKUP(H19,Valintalistat!G$2:H$5,2,0),99),1,0)</f>
        <v>0</v>
      </c>
      <c r="AB19" s="43">
        <f t="shared" si="2"/>
        <v>1</v>
      </c>
      <c r="AC19" s="44">
        <f>IF(Esiehdot!E$4=IFERROR(VLOOKUP(E19,Valintalistat!D$2:H$7,5,0),99),1,0)</f>
        <v>0</v>
      </c>
      <c r="AD19" s="44">
        <f>IF(Esiehdot!E$5=IFERROR(VLOOKUP(F19,Valintalistat!E$2:H$5,4,0),99),1,0)</f>
        <v>0</v>
      </c>
      <c r="AE19" s="44">
        <f>IF(Esiehdot!E$6=IFERROR(VLOOKUP(G19,Valintalistat!F$2:H$5,3,0),99),1,0)</f>
        <v>0</v>
      </c>
      <c r="AF19" s="44">
        <f>IF(Esiehdot!E$8=IFERROR(VLOOKUP(H19,Valintalistat!G$2:H$3,2,0),98),1,0)</f>
        <v>0</v>
      </c>
      <c r="AG19" s="43">
        <f t="shared" si="3"/>
        <v>0</v>
      </c>
      <c r="AH19" s="43">
        <f>IFERROR(HLOOKUP(Esiehdot!$B$17,Käyttötapauskriteerit!G$1:P19,19,0),1)</f>
        <v>1</v>
      </c>
      <c r="AI19" s="43">
        <f t="shared" si="4"/>
        <v>1</v>
      </c>
      <c r="AJ19" s="43">
        <f t="shared" si="5"/>
        <v>0</v>
      </c>
      <c r="AK19" s="43">
        <f t="shared" si="6"/>
        <v>0</v>
      </c>
      <c r="AL19" s="43">
        <f t="shared" si="7"/>
        <v>0</v>
      </c>
      <c r="AM19" s="43"/>
      <c r="AN19" s="45" t="str">
        <f t="shared" si="8"/>
        <v>Olennainen</v>
      </c>
    </row>
    <row r="20" spans="1:40 16365:16383" ht="50.1">
      <c r="A20" s="5" t="s">
        <v>32</v>
      </c>
      <c r="B20" s="5" t="s">
        <v>258</v>
      </c>
      <c r="C20" s="22" t="s">
        <v>378</v>
      </c>
      <c r="E20" s="17" t="s">
        <v>25</v>
      </c>
      <c r="F20" s="17" t="s">
        <v>27</v>
      </c>
      <c r="G20" s="17" t="s">
        <v>27</v>
      </c>
      <c r="H20" s="17" t="s">
        <v>260</v>
      </c>
      <c r="I20" s="17"/>
      <c r="J20" s="17"/>
      <c r="K20" s="17"/>
      <c r="L20" s="32" t="s">
        <v>379</v>
      </c>
      <c r="M20" s="61" t="s">
        <v>380</v>
      </c>
      <c r="N20" s="23" t="s">
        <v>381</v>
      </c>
      <c r="O20" s="23" t="s">
        <v>382</v>
      </c>
      <c r="P20" s="9" t="s">
        <v>383</v>
      </c>
      <c r="Q20" s="9" t="s">
        <v>384</v>
      </c>
      <c r="R20" s="9"/>
      <c r="S20" s="9" t="s">
        <v>385</v>
      </c>
      <c r="U20" s="42" t="str">
        <f t="shared" si="0"/>
        <v>HAL-08, L:Julkinen, E:Vähäinen, S:Vähäinen, TS:Henkilötieto</v>
      </c>
      <c r="V20" s="46" t="str">
        <f t="shared" si="1"/>
        <v>Katakri: T-07</v>
      </c>
      <c r="W20" s="46">
        <f>IFERROR(VLOOKUP(A20,Esiehdot!A$11:D$15,4,0), 0)</f>
        <v>1</v>
      </c>
      <c r="X20" s="46">
        <f>IF(Esiehdot!D$4&gt;=IFERROR(VLOOKUP(E20,Valintalistat!D$2:H$7,5,0), 99),1,0)</f>
        <v>1</v>
      </c>
      <c r="Y20" s="46">
        <f>IF(Esiehdot!D$5&gt;=IFERROR(VLOOKUP(F20,Valintalistat!E$2:H$5,4,0), 99),1,0)</f>
        <v>1</v>
      </c>
      <c r="Z20" s="46">
        <f>IF(Esiehdot!D$6&gt;=IFERROR(VLOOKUP(G20,Valintalistat!F$2:H$5,3,0),99),1,0)</f>
        <v>1</v>
      </c>
      <c r="AA20" s="46">
        <f>IF(Esiehdot!D$8&gt;=IFERROR(VLOOKUP(H20,Valintalistat!G$2:H$5,2,0),99),1,0)</f>
        <v>0</v>
      </c>
      <c r="AB20" s="46">
        <f t="shared" si="2"/>
        <v>1</v>
      </c>
      <c r="AC20" s="46">
        <f>IF(Esiehdot!E$4=IFERROR(VLOOKUP(E20,Valintalistat!D$2:H$7,5,0),99),1,0)</f>
        <v>0</v>
      </c>
      <c r="AD20" s="46">
        <f>IF(Esiehdot!E$5=IFERROR(VLOOKUP(F20,Valintalistat!E$2:H$5,4,0),99),1,0)</f>
        <v>0</v>
      </c>
      <c r="AE20" s="46">
        <f>IF(Esiehdot!E$6=IFERROR(VLOOKUP(G20,Valintalistat!F$2:H$5,3,0),99),1,0)</f>
        <v>0</v>
      </c>
      <c r="AF20" s="46">
        <f>IF(Esiehdot!E$8=IFERROR(VLOOKUP(H20,Valintalistat!G$2:H$3,2,0),98),1,0)</f>
        <v>0</v>
      </c>
      <c r="AG20" s="46">
        <f t="shared" si="3"/>
        <v>0</v>
      </c>
      <c r="AH20" s="46">
        <f>IFERROR(HLOOKUP(Esiehdot!$B$17,Käyttötapauskriteerit!G$1:P20,20,0),1)</f>
        <v>1</v>
      </c>
      <c r="AI20" s="46">
        <f t="shared" si="4"/>
        <v>1</v>
      </c>
      <c r="AJ20" s="46">
        <f t="shared" si="5"/>
        <v>0</v>
      </c>
      <c r="AK20" s="46">
        <f t="shared" si="6"/>
        <v>0</v>
      </c>
      <c r="AL20" s="46">
        <f t="shared" si="7"/>
        <v>0</v>
      </c>
      <c r="AM20" s="46"/>
      <c r="AN20" s="45" t="str">
        <f t="shared" si="8"/>
        <v>Olennainen</v>
      </c>
      <c r="XEK20" s="5"/>
      <c r="XEL20" s="5"/>
      <c r="XEM20" s="22"/>
      <c r="XEN20" s="22"/>
      <c r="XEO20" s="17"/>
      <c r="XEP20" s="17"/>
      <c r="XEQ20" s="17"/>
      <c r="XER20" s="17"/>
      <c r="XES20" s="17"/>
      <c r="XET20" s="17"/>
      <c r="XEU20" s="17"/>
      <c r="XEV20" s="32"/>
      <c r="XEW20" s="23"/>
      <c r="XEX20" s="23"/>
      <c r="XEY20" s="23"/>
      <c r="XEZ20" s="9"/>
      <c r="XFA20" s="9"/>
      <c r="XFB20" s="9"/>
      <c r="XFC20" s="9"/>
    </row>
    <row r="21" spans="1:40 16365:16383" ht="50.1">
      <c r="A21" s="5" t="s">
        <v>32</v>
      </c>
      <c r="B21" s="5" t="s">
        <v>258</v>
      </c>
      <c r="C21" s="22" t="s">
        <v>386</v>
      </c>
      <c r="E21" s="17" t="s">
        <v>25</v>
      </c>
      <c r="F21" s="17" t="s">
        <v>27</v>
      </c>
      <c r="G21" s="17" t="s">
        <v>27</v>
      </c>
      <c r="H21" s="17" t="s">
        <v>260</v>
      </c>
      <c r="I21" s="17"/>
      <c r="J21" s="17"/>
      <c r="K21" s="17"/>
      <c r="L21" s="32" t="s">
        <v>387</v>
      </c>
      <c r="M21" s="61" t="s">
        <v>388</v>
      </c>
      <c r="N21" s="23"/>
      <c r="O21" s="23" t="s">
        <v>389</v>
      </c>
      <c r="P21" s="9" t="s">
        <v>390</v>
      </c>
      <c r="Q21" s="9" t="s">
        <v>391</v>
      </c>
      <c r="R21" s="9"/>
      <c r="S21" s="9" t="s">
        <v>266</v>
      </c>
      <c r="U21" s="42" t="str">
        <f t="shared" si="0"/>
        <v>HAL-09, L:Julkinen, E:Vähäinen, S:Vähäinen, TS:Henkilötieto</v>
      </c>
      <c r="V21" s="42" t="str">
        <f t="shared" si="1"/>
        <v>Katakri: T-01</v>
      </c>
      <c r="W21" s="43">
        <f>IFERROR(VLOOKUP(A21,Esiehdot!A$11:D$15,4,0), 0)</f>
        <v>1</v>
      </c>
      <c r="X21" s="44">
        <f>IF(Esiehdot!D$4&gt;=IFERROR(VLOOKUP(E21,Valintalistat!D$2:H$7,5,0), 99),1,0)</f>
        <v>1</v>
      </c>
      <c r="Y21" s="44">
        <f>IF(Esiehdot!D$5&gt;=IFERROR(VLOOKUP(F21,Valintalistat!E$2:H$5,4,0), 99),1,0)</f>
        <v>1</v>
      </c>
      <c r="Z21" s="44">
        <f>IF(Esiehdot!D$6&gt;=IFERROR(VLOOKUP(G21,Valintalistat!F$2:H$5,3,0),99),1,0)</f>
        <v>1</v>
      </c>
      <c r="AA21" s="44">
        <f>IF(Esiehdot!D$8&gt;=IFERROR(VLOOKUP(H21,Valintalistat!G$2:H$5,2,0),99),1,0)</f>
        <v>0</v>
      </c>
      <c r="AB21" s="43">
        <f t="shared" si="2"/>
        <v>1</v>
      </c>
      <c r="AC21" s="44">
        <f>IF(Esiehdot!E$4=IFERROR(VLOOKUP(E21,Valintalistat!D$2:H$7,5,0),99),1,0)</f>
        <v>0</v>
      </c>
      <c r="AD21" s="44">
        <f>IF(Esiehdot!E$5=IFERROR(VLOOKUP(F21,Valintalistat!E$2:H$5,4,0),99),1,0)</f>
        <v>0</v>
      </c>
      <c r="AE21" s="44">
        <f>IF(Esiehdot!E$6=IFERROR(VLOOKUP(G21,Valintalistat!F$2:H$5,3,0),99),1,0)</f>
        <v>0</v>
      </c>
      <c r="AF21" s="44">
        <f>IF(Esiehdot!E$8=IFERROR(VLOOKUP(H21,Valintalistat!G$2:H$3,2,0),98),1,0)</f>
        <v>0</v>
      </c>
      <c r="AG21" s="43">
        <f t="shared" si="3"/>
        <v>0</v>
      </c>
      <c r="AH21" s="43">
        <f>IFERROR(HLOOKUP(Esiehdot!$B$17,Käyttötapauskriteerit!G$1:P21,21,0),1)</f>
        <v>1</v>
      </c>
      <c r="AI21" s="43">
        <f t="shared" si="4"/>
        <v>1</v>
      </c>
      <c r="AJ21" s="43">
        <f t="shared" si="5"/>
        <v>0</v>
      </c>
      <c r="AK21" s="43">
        <f t="shared" si="6"/>
        <v>0</v>
      </c>
      <c r="AL21" s="43">
        <f t="shared" si="7"/>
        <v>0</v>
      </c>
      <c r="AM21" s="43"/>
      <c r="AN21" s="45" t="str">
        <f t="shared" si="8"/>
        <v>Olennainen</v>
      </c>
    </row>
    <row r="22" spans="1:40 16365:16383" ht="37.5">
      <c r="A22" s="5" t="s">
        <v>32</v>
      </c>
      <c r="B22" s="5" t="s">
        <v>258</v>
      </c>
      <c r="C22" s="22" t="s">
        <v>392</v>
      </c>
      <c r="D22" s="22" t="s">
        <v>386</v>
      </c>
      <c r="E22" s="17" t="s">
        <v>25</v>
      </c>
      <c r="F22" s="17" t="s">
        <v>27</v>
      </c>
      <c r="G22" s="17" t="s">
        <v>27</v>
      </c>
      <c r="H22" s="17" t="s">
        <v>260</v>
      </c>
      <c r="I22" s="17"/>
      <c r="J22" s="17"/>
      <c r="K22" s="17"/>
      <c r="L22" s="32" t="s">
        <v>393</v>
      </c>
      <c r="M22" s="61" t="s">
        <v>394</v>
      </c>
      <c r="N22" s="23"/>
      <c r="O22" s="23" t="s">
        <v>395</v>
      </c>
      <c r="P22" s="9" t="s">
        <v>390</v>
      </c>
      <c r="Q22" s="9" t="s">
        <v>391</v>
      </c>
      <c r="R22" s="9"/>
      <c r="S22" s="9"/>
      <c r="U22" s="42" t="str">
        <f t="shared" si="0"/>
        <v>HAL-09.1, L:Julkinen, E:Vähäinen, S:Vähäinen, TS:Henkilötieto</v>
      </c>
      <c r="V22" s="42" t="str">
        <f t="shared" si="1"/>
        <v/>
      </c>
      <c r="W22" s="43">
        <f>IFERROR(VLOOKUP(A22,Esiehdot!A$11:D$15,4,0), 0)</f>
        <v>1</v>
      </c>
      <c r="X22" s="44">
        <f>IF(Esiehdot!D$4&gt;=IFERROR(VLOOKUP(E22,Valintalistat!D$2:H$7,5,0), 99),1,0)</f>
        <v>1</v>
      </c>
      <c r="Y22" s="44">
        <f>IF(Esiehdot!D$5&gt;=IFERROR(VLOOKUP(F22,Valintalistat!E$2:H$5,4,0), 99),1,0)</f>
        <v>1</v>
      </c>
      <c r="Z22" s="44">
        <f>IF(Esiehdot!D$6&gt;=IFERROR(VLOOKUP(G22,Valintalistat!F$2:H$5,3,0),99),1,0)</f>
        <v>1</v>
      </c>
      <c r="AA22" s="44">
        <f>IF(Esiehdot!D$8&gt;=IFERROR(VLOOKUP(H22,Valintalistat!G$2:H$5,2,0),99),1,0)</f>
        <v>0</v>
      </c>
      <c r="AB22" s="43">
        <f t="shared" si="2"/>
        <v>1</v>
      </c>
      <c r="AC22" s="44">
        <f>IF(Esiehdot!E$4=IFERROR(VLOOKUP(E22,Valintalistat!D$2:H$7,5,0),99),1,0)</f>
        <v>0</v>
      </c>
      <c r="AD22" s="44">
        <f>IF(Esiehdot!E$5=IFERROR(VLOOKUP(F22,Valintalistat!E$2:H$5,4,0),99),1,0)</f>
        <v>0</v>
      </c>
      <c r="AE22" s="44">
        <f>IF(Esiehdot!E$6=IFERROR(VLOOKUP(G22,Valintalistat!F$2:H$5,3,0),99),1,0)</f>
        <v>0</v>
      </c>
      <c r="AF22" s="44">
        <f>IF(Esiehdot!E$8=IFERROR(VLOOKUP(H22,Valintalistat!G$2:H$3,2,0),98),1,0)</f>
        <v>0</v>
      </c>
      <c r="AG22" s="43">
        <f t="shared" si="3"/>
        <v>0</v>
      </c>
      <c r="AH22" s="43">
        <f>IFERROR(HLOOKUP(Esiehdot!$B$17,Käyttötapauskriteerit!G$1:P22,22,0),1)</f>
        <v>1</v>
      </c>
      <c r="AI22" s="43">
        <f t="shared" si="4"/>
        <v>1</v>
      </c>
      <c r="AJ22" s="43">
        <f t="shared" si="5"/>
        <v>0</v>
      </c>
      <c r="AK22" s="43">
        <f t="shared" si="6"/>
        <v>0</v>
      </c>
      <c r="AL22" s="43">
        <f t="shared" si="7"/>
        <v>0</v>
      </c>
      <c r="AM22" s="43"/>
      <c r="AN22" s="45" t="str">
        <f t="shared" si="8"/>
        <v>Olennainen</v>
      </c>
    </row>
    <row r="23" spans="1:40 16365:16383" ht="50.1">
      <c r="A23" s="5" t="s">
        <v>32</v>
      </c>
      <c r="B23" s="5" t="s">
        <v>396</v>
      </c>
      <c r="C23" s="22" t="s">
        <v>397</v>
      </c>
      <c r="E23" s="17" t="s">
        <v>25</v>
      </c>
      <c r="F23" s="17" t="s">
        <v>27</v>
      </c>
      <c r="G23" s="17" t="s">
        <v>27</v>
      </c>
      <c r="H23" s="17" t="s">
        <v>260</v>
      </c>
      <c r="I23" s="17"/>
      <c r="J23" s="17"/>
      <c r="K23" s="17"/>
      <c r="L23" s="32" t="s">
        <v>398</v>
      </c>
      <c r="M23" s="61" t="s">
        <v>399</v>
      </c>
      <c r="N23" s="23" t="s">
        <v>400</v>
      </c>
      <c r="O23" s="23" t="s">
        <v>401</v>
      </c>
      <c r="P23" s="9" t="s">
        <v>402</v>
      </c>
      <c r="Q23" s="9" t="s">
        <v>403</v>
      </c>
      <c r="R23" s="9"/>
      <c r="S23" s="9" t="s">
        <v>404</v>
      </c>
      <c r="U23" s="42" t="str">
        <f t="shared" si="0"/>
        <v>HAL-10, L:Julkinen, E:Vähäinen, S:Vähäinen, TS:Henkilötieto</v>
      </c>
      <c r="V23" s="42" t="str">
        <f t="shared" si="1"/>
        <v>Katakri: T-10</v>
      </c>
      <c r="W23" s="43">
        <f>IFERROR(VLOOKUP(A23,Esiehdot!A$11:D$15,4,0), 0)</f>
        <v>1</v>
      </c>
      <c r="X23" s="44">
        <f>IF(Esiehdot!D$4&gt;=IFERROR(VLOOKUP(E23,Valintalistat!D$2:H$7,5,0), 99),1,0)</f>
        <v>1</v>
      </c>
      <c r="Y23" s="44">
        <f>IF(Esiehdot!D$5&gt;=IFERROR(VLOOKUP(F23,Valintalistat!E$2:H$5,4,0), 99),1,0)</f>
        <v>1</v>
      </c>
      <c r="Z23" s="44">
        <f>IF(Esiehdot!D$6&gt;=IFERROR(VLOOKUP(G23,Valintalistat!F$2:H$5,3,0),99),1,0)</f>
        <v>1</v>
      </c>
      <c r="AA23" s="44">
        <f>IF(Esiehdot!D$8&gt;=IFERROR(VLOOKUP(H23,Valintalistat!G$2:H$5,2,0),99),1,0)</f>
        <v>0</v>
      </c>
      <c r="AB23" s="43">
        <f t="shared" si="2"/>
        <v>1</v>
      </c>
      <c r="AC23" s="44">
        <f>IF(Esiehdot!E$4=IFERROR(VLOOKUP(E23,Valintalistat!D$2:H$7,5,0),99),1,0)</f>
        <v>0</v>
      </c>
      <c r="AD23" s="44">
        <f>IF(Esiehdot!E$5=IFERROR(VLOOKUP(F23,Valintalistat!E$2:H$5,4,0),99),1,0)</f>
        <v>0</v>
      </c>
      <c r="AE23" s="44">
        <f>IF(Esiehdot!E$6=IFERROR(VLOOKUP(G23,Valintalistat!F$2:H$5,3,0),99),1,0)</f>
        <v>0</v>
      </c>
      <c r="AF23" s="44">
        <f>IF(Esiehdot!E$8=IFERROR(VLOOKUP(H23,Valintalistat!G$2:H$3,2,0),98),1,0)</f>
        <v>0</v>
      </c>
      <c r="AG23" s="43">
        <f t="shared" si="3"/>
        <v>0</v>
      </c>
      <c r="AH23" s="43">
        <f>IFERROR(HLOOKUP(Esiehdot!$B$17,Käyttötapauskriteerit!G$1:P23,23,0),1)</f>
        <v>1</v>
      </c>
      <c r="AI23" s="43">
        <f t="shared" si="4"/>
        <v>1</v>
      </c>
      <c r="AJ23" s="43">
        <f t="shared" si="5"/>
        <v>0</v>
      </c>
      <c r="AK23" s="43">
        <f t="shared" si="6"/>
        <v>0</v>
      </c>
      <c r="AL23" s="43">
        <f t="shared" si="7"/>
        <v>0</v>
      </c>
      <c r="AM23" s="43"/>
      <c r="AN23" s="45" t="str">
        <f t="shared" si="8"/>
        <v>Olennainen</v>
      </c>
    </row>
    <row r="24" spans="1:40 16365:16383" ht="62.45">
      <c r="A24" s="5" t="s">
        <v>32</v>
      </c>
      <c r="B24" s="5" t="s">
        <v>396</v>
      </c>
      <c r="C24" s="22" t="s">
        <v>405</v>
      </c>
      <c r="D24" s="22" t="s">
        <v>397</v>
      </c>
      <c r="E24" s="17" t="s">
        <v>276</v>
      </c>
      <c r="F24" s="17" t="s">
        <v>406</v>
      </c>
      <c r="G24" s="17" t="s">
        <v>406</v>
      </c>
      <c r="H24" s="17" t="s">
        <v>278</v>
      </c>
      <c r="I24" s="17"/>
      <c r="J24" s="17"/>
      <c r="K24" s="17"/>
      <c r="L24" s="32" t="s">
        <v>407</v>
      </c>
      <c r="M24" s="61" t="s">
        <v>408</v>
      </c>
      <c r="N24" s="23" t="s">
        <v>409</v>
      </c>
      <c r="O24" s="23" t="s">
        <v>410</v>
      </c>
      <c r="P24" s="9" t="s">
        <v>411</v>
      </c>
      <c r="Q24" s="9" t="s">
        <v>412</v>
      </c>
      <c r="R24" s="9"/>
      <c r="S24" s="9" t="s">
        <v>404</v>
      </c>
      <c r="U24" s="42" t="str">
        <f t="shared" si="0"/>
        <v>HAL-10.1, L:Salassa pidettävä, E:Kriittinen, S:Kriittinen, TS:Erityinen henkilötietoryhmä</v>
      </c>
      <c r="V24" s="42" t="str">
        <f t="shared" si="1"/>
        <v>Katakri: T-10</v>
      </c>
      <c r="W24" s="43">
        <f>IFERROR(VLOOKUP(A24,Esiehdot!A$11:D$15,4,0), 0)</f>
        <v>1</v>
      </c>
      <c r="X24" s="44">
        <f>IF(Esiehdot!D$4&gt;=IFERROR(VLOOKUP(E24,Valintalistat!D$2:H$7,5,0), 99),1,0)</f>
        <v>0</v>
      </c>
      <c r="Y24" s="44">
        <f>IF(Esiehdot!D$5&gt;=IFERROR(VLOOKUP(F24,Valintalistat!E$2:H$5,4,0), 99),1,0)</f>
        <v>0</v>
      </c>
      <c r="Z24" s="44">
        <f>IF(Esiehdot!D$6&gt;=IFERROR(VLOOKUP(G24,Valintalistat!F$2:H$5,3,0),99),1,0)</f>
        <v>0</v>
      </c>
      <c r="AA24" s="44">
        <f>IF(Esiehdot!D$8&gt;=IFERROR(VLOOKUP(H24,Valintalistat!G$2:H$5,2,0),99),1,0)</f>
        <v>0</v>
      </c>
      <c r="AB24" s="43">
        <f t="shared" si="2"/>
        <v>0</v>
      </c>
      <c r="AC24" s="44">
        <f>IF(Esiehdot!E$4=IFERROR(VLOOKUP(E24,Valintalistat!D$2:H$7,5,0),99),1,0)</f>
        <v>1</v>
      </c>
      <c r="AD24" s="44">
        <f>IF(Esiehdot!E$5=IFERROR(VLOOKUP(F24,Valintalistat!E$2:H$5,4,0),99),1,0)</f>
        <v>0</v>
      </c>
      <c r="AE24" s="44">
        <f>IF(Esiehdot!E$6=IFERROR(VLOOKUP(G24,Valintalistat!F$2:H$5,3,0),99),1,0)</f>
        <v>0</v>
      </c>
      <c r="AF24" s="44">
        <f>IF(Esiehdot!E$8=IFERROR(VLOOKUP(H24,Valintalistat!G$2:H$3,2,0),98),1,0)</f>
        <v>0</v>
      </c>
      <c r="AG24" s="43">
        <f t="shared" si="3"/>
        <v>1</v>
      </c>
      <c r="AH24" s="43">
        <f>IFERROR(HLOOKUP(Esiehdot!$B$17,Käyttötapauskriteerit!G$1:P24,24,0),1)</f>
        <v>1</v>
      </c>
      <c r="AI24" s="43">
        <f t="shared" si="4"/>
        <v>0</v>
      </c>
      <c r="AJ24" s="43">
        <f t="shared" si="5"/>
        <v>0</v>
      </c>
      <c r="AK24" s="43">
        <f t="shared" si="6"/>
        <v>1</v>
      </c>
      <c r="AL24" s="43">
        <f t="shared" si="7"/>
        <v>0</v>
      </c>
      <c r="AM24" s="43"/>
      <c r="AN24" s="45" t="str">
        <f t="shared" si="8"/>
        <v>Valinnainen</v>
      </c>
    </row>
    <row r="25" spans="1:40 16365:16383" ht="50.1">
      <c r="A25" s="5" t="s">
        <v>32</v>
      </c>
      <c r="B25" s="5" t="s">
        <v>396</v>
      </c>
      <c r="C25" s="22" t="s">
        <v>413</v>
      </c>
      <c r="E25" s="17" t="s">
        <v>276</v>
      </c>
      <c r="F25" s="17"/>
      <c r="G25" s="17"/>
      <c r="H25" s="17" t="s">
        <v>260</v>
      </c>
      <c r="I25" s="17"/>
      <c r="J25" s="17"/>
      <c r="K25" s="17"/>
      <c r="L25" s="32" t="s">
        <v>414</v>
      </c>
      <c r="M25" s="61" t="s">
        <v>415</v>
      </c>
      <c r="N25" s="23"/>
      <c r="O25" s="23" t="s">
        <v>416</v>
      </c>
      <c r="P25" s="9" t="s">
        <v>417</v>
      </c>
      <c r="Q25" s="9" t="s">
        <v>418</v>
      </c>
      <c r="R25" s="9"/>
      <c r="S25" s="9" t="s">
        <v>419</v>
      </c>
      <c r="U25" s="42" t="str">
        <f t="shared" si="0"/>
        <v>HAL-11, L:Salassa pidettävä, E:, S:, TS:Henkilötieto</v>
      </c>
      <c r="V25" s="42" t="str">
        <f t="shared" si="1"/>
        <v>Katakri: T-11</v>
      </c>
      <c r="W25" s="43">
        <f>IFERROR(VLOOKUP(A25,Esiehdot!A$11:D$15,4,0), 0)</f>
        <v>1</v>
      </c>
      <c r="X25" s="44">
        <f>IF(Esiehdot!D$4&gt;=IFERROR(VLOOKUP(E25,Valintalistat!D$2:H$7,5,0), 99),1,0)</f>
        <v>0</v>
      </c>
      <c r="Y25" s="44">
        <f>IF(Esiehdot!D$5&gt;=IFERROR(VLOOKUP(F25,Valintalistat!E$2:H$5,4,0), 99),1,0)</f>
        <v>0</v>
      </c>
      <c r="Z25" s="44">
        <f>IF(Esiehdot!D$6&gt;=IFERROR(VLOOKUP(G25,Valintalistat!F$2:H$5,3,0),99),1,0)</f>
        <v>0</v>
      </c>
      <c r="AA25" s="44">
        <f>IF(Esiehdot!D$8&gt;=IFERROR(VLOOKUP(H25,Valintalistat!G$2:H$5,2,0),99),1,0)</f>
        <v>0</v>
      </c>
      <c r="AB25" s="43">
        <f t="shared" si="2"/>
        <v>0</v>
      </c>
      <c r="AC25" s="44">
        <f>IF(Esiehdot!E$4=IFERROR(VLOOKUP(E25,Valintalistat!D$2:H$7,5,0),99),1,0)</f>
        <v>1</v>
      </c>
      <c r="AD25" s="44">
        <f>IF(Esiehdot!E$5=IFERROR(VLOOKUP(F25,Valintalistat!E$2:H$5,4,0),99),1,0)</f>
        <v>0</v>
      </c>
      <c r="AE25" s="44">
        <f>IF(Esiehdot!E$6=IFERROR(VLOOKUP(G25,Valintalistat!F$2:H$5,3,0),99),1,0)</f>
        <v>0</v>
      </c>
      <c r="AF25" s="44">
        <f>IF(Esiehdot!E$8=IFERROR(VLOOKUP(H25,Valintalistat!G$2:H$3,2,0),98),1,0)</f>
        <v>0</v>
      </c>
      <c r="AG25" s="43">
        <f t="shared" si="3"/>
        <v>1</v>
      </c>
      <c r="AH25" s="43">
        <f>IFERROR(HLOOKUP(Esiehdot!$B$17,Käyttötapauskriteerit!G$1:P25,25,0),1)</f>
        <v>1</v>
      </c>
      <c r="AI25" s="43">
        <f t="shared" si="4"/>
        <v>0</v>
      </c>
      <c r="AJ25" s="43">
        <f t="shared" si="5"/>
        <v>0</v>
      </c>
      <c r="AK25" s="43">
        <f t="shared" si="6"/>
        <v>1</v>
      </c>
      <c r="AL25" s="43">
        <f t="shared" si="7"/>
        <v>0</v>
      </c>
      <c r="AM25" s="43"/>
      <c r="AN25" s="45" t="str">
        <f t="shared" si="8"/>
        <v>Valinnainen</v>
      </c>
    </row>
    <row r="26" spans="1:40 16365:16383" ht="37.5">
      <c r="A26" s="5" t="s">
        <v>32</v>
      </c>
      <c r="B26" s="5" t="s">
        <v>396</v>
      </c>
      <c r="C26" s="22" t="s">
        <v>420</v>
      </c>
      <c r="E26" s="17" t="s">
        <v>25</v>
      </c>
      <c r="F26" s="17" t="s">
        <v>27</v>
      </c>
      <c r="G26" s="17" t="s">
        <v>27</v>
      </c>
      <c r="H26" s="17" t="s">
        <v>260</v>
      </c>
      <c r="I26" s="17"/>
      <c r="J26" s="17"/>
      <c r="K26" s="17"/>
      <c r="L26" s="32" t="s">
        <v>421</v>
      </c>
      <c r="M26" s="61" t="s">
        <v>422</v>
      </c>
      <c r="N26" s="23" t="s">
        <v>423</v>
      </c>
      <c r="O26" s="23" t="s">
        <v>424</v>
      </c>
      <c r="P26" s="9" t="s">
        <v>425</v>
      </c>
      <c r="Q26" s="9" t="s">
        <v>426</v>
      </c>
      <c r="R26" s="9" t="s">
        <v>427</v>
      </c>
      <c r="S26" s="9" t="s">
        <v>428</v>
      </c>
      <c r="U26" s="42" t="str">
        <f t="shared" si="0"/>
        <v>HAL-12, L:Julkinen, E:Vähäinen, S:Vähäinen, TS:Henkilötieto</v>
      </c>
      <c r="V26" s="42" t="str">
        <f t="shared" si="1"/>
        <v>Julkri: TEK-17.2; Katakri: T-04</v>
      </c>
      <c r="W26" s="43">
        <f>IFERROR(VLOOKUP(A26,Esiehdot!A$11:D$15,4,0), 0)</f>
        <v>1</v>
      </c>
      <c r="X26" s="44">
        <f>IF(Esiehdot!D$4&gt;=IFERROR(VLOOKUP(E26,Valintalistat!D$2:H$7,5,0), 99),1,0)</f>
        <v>1</v>
      </c>
      <c r="Y26" s="44">
        <f>IF(Esiehdot!D$5&gt;=IFERROR(VLOOKUP(F26,Valintalistat!E$2:H$5,4,0), 99),1,0)</f>
        <v>1</v>
      </c>
      <c r="Z26" s="44">
        <f>IF(Esiehdot!D$6&gt;=IFERROR(VLOOKUP(G26,Valintalistat!F$2:H$5,3,0),99),1,0)</f>
        <v>1</v>
      </c>
      <c r="AA26" s="44">
        <f>IF(Esiehdot!D$8&gt;=IFERROR(VLOOKUP(H26,Valintalistat!G$2:H$5,2,0),99),1,0)</f>
        <v>0</v>
      </c>
      <c r="AB26" s="43">
        <f t="shared" si="2"/>
        <v>1</v>
      </c>
      <c r="AC26" s="44">
        <f>IF(Esiehdot!E$4=IFERROR(VLOOKUP(E26,Valintalistat!D$2:H$7,5,0),99),1,0)</f>
        <v>0</v>
      </c>
      <c r="AD26" s="44">
        <f>IF(Esiehdot!E$5=IFERROR(VLOOKUP(F26,Valintalistat!E$2:H$5,4,0),99),1,0)</f>
        <v>0</v>
      </c>
      <c r="AE26" s="44">
        <f>IF(Esiehdot!E$6=IFERROR(VLOOKUP(G26,Valintalistat!F$2:H$5,3,0),99),1,0)</f>
        <v>0</v>
      </c>
      <c r="AF26" s="44">
        <f>IF(Esiehdot!E$8=IFERROR(VLOOKUP(H26,Valintalistat!G$2:H$3,2,0),98),1,0)</f>
        <v>0</v>
      </c>
      <c r="AG26" s="43">
        <f t="shared" si="3"/>
        <v>0</v>
      </c>
      <c r="AH26" s="43">
        <f>IFERROR(HLOOKUP(Esiehdot!$B$17,Käyttötapauskriteerit!G$1:P26,26,0),1)</f>
        <v>1</v>
      </c>
      <c r="AI26" s="43">
        <f t="shared" si="4"/>
        <v>1</v>
      </c>
      <c r="AJ26" s="43">
        <f t="shared" si="5"/>
        <v>0</v>
      </c>
      <c r="AK26" s="43">
        <f t="shared" si="6"/>
        <v>0</v>
      </c>
      <c r="AL26" s="43">
        <f t="shared" si="7"/>
        <v>0</v>
      </c>
      <c r="AM26" s="43"/>
      <c r="AN26" s="45" t="str">
        <f t="shared" si="8"/>
        <v>Olennainen</v>
      </c>
    </row>
    <row r="27" spans="1:40 16365:16383" ht="62.45">
      <c r="A27" s="5" t="s">
        <v>32</v>
      </c>
      <c r="B27" s="5" t="s">
        <v>396</v>
      </c>
      <c r="C27" s="22" t="s">
        <v>429</v>
      </c>
      <c r="E27" s="17" t="s">
        <v>25</v>
      </c>
      <c r="F27" s="17" t="s">
        <v>27</v>
      </c>
      <c r="G27" s="17" t="s">
        <v>27</v>
      </c>
      <c r="H27" s="17" t="s">
        <v>260</v>
      </c>
      <c r="I27" s="17"/>
      <c r="J27" s="17"/>
      <c r="K27" s="17"/>
      <c r="L27" s="32" t="s">
        <v>430</v>
      </c>
      <c r="M27" s="61" t="s">
        <v>431</v>
      </c>
      <c r="N27" s="23" t="s">
        <v>432</v>
      </c>
      <c r="O27" s="23" t="s">
        <v>433</v>
      </c>
      <c r="P27" s="9" t="s">
        <v>434</v>
      </c>
      <c r="Q27" s="9" t="s">
        <v>435</v>
      </c>
      <c r="R27" s="9"/>
      <c r="S27" s="9" t="s">
        <v>436</v>
      </c>
      <c r="U27" s="42" t="str">
        <f t="shared" si="0"/>
        <v>HAL-13, L:Julkinen, E:Vähäinen, S:Vähäinen, TS:Henkilötieto</v>
      </c>
      <c r="V27" s="42" t="str">
        <f t="shared" si="1"/>
        <v>Katakri: T-12</v>
      </c>
      <c r="W27" s="43">
        <f>IFERROR(VLOOKUP(A27,Esiehdot!A$11:D$15,4,0), 0)</f>
        <v>1</v>
      </c>
      <c r="X27" s="44">
        <f>IF(Esiehdot!D$4&gt;=IFERROR(VLOOKUP(E27,Valintalistat!D$2:H$7,5,0), 99),1,0)</f>
        <v>1</v>
      </c>
      <c r="Y27" s="44">
        <f>IF(Esiehdot!D$5&gt;=IFERROR(VLOOKUP(F27,Valintalistat!E$2:H$5,4,0), 99),1,0)</f>
        <v>1</v>
      </c>
      <c r="Z27" s="44">
        <f>IF(Esiehdot!D$6&gt;=IFERROR(VLOOKUP(G27,Valintalistat!F$2:H$5,3,0),99),1,0)</f>
        <v>1</v>
      </c>
      <c r="AA27" s="44">
        <f>IF(Esiehdot!D$8&gt;=IFERROR(VLOOKUP(H27,Valintalistat!G$2:H$5,2,0),99),1,0)</f>
        <v>0</v>
      </c>
      <c r="AB27" s="43">
        <f t="shared" si="2"/>
        <v>1</v>
      </c>
      <c r="AC27" s="44">
        <f>IF(Esiehdot!E$4=IFERROR(VLOOKUP(E27,Valintalistat!D$2:H$7,5,0),99),1,0)</f>
        <v>0</v>
      </c>
      <c r="AD27" s="44">
        <f>IF(Esiehdot!E$5=IFERROR(VLOOKUP(F27,Valintalistat!E$2:H$5,4,0),99),1,0)</f>
        <v>0</v>
      </c>
      <c r="AE27" s="44">
        <f>IF(Esiehdot!E$6=IFERROR(VLOOKUP(G27,Valintalistat!F$2:H$5,3,0),99),1,0)</f>
        <v>0</v>
      </c>
      <c r="AF27" s="44">
        <f>IF(Esiehdot!E$8=IFERROR(VLOOKUP(H27,Valintalistat!G$2:H$3,2,0),98),1,0)</f>
        <v>0</v>
      </c>
      <c r="AG27" s="43">
        <f t="shared" si="3"/>
        <v>0</v>
      </c>
      <c r="AH27" s="43">
        <f>IFERROR(HLOOKUP(Esiehdot!$B$17,Käyttötapauskriteerit!G$1:P27,27,0),1)</f>
        <v>1</v>
      </c>
      <c r="AI27" s="43">
        <f t="shared" si="4"/>
        <v>1</v>
      </c>
      <c r="AJ27" s="43">
        <f t="shared" si="5"/>
        <v>0</v>
      </c>
      <c r="AK27" s="43">
        <f t="shared" si="6"/>
        <v>0</v>
      </c>
      <c r="AL27" s="43">
        <f t="shared" si="7"/>
        <v>0</v>
      </c>
      <c r="AM27" s="43"/>
      <c r="AN27" s="45" t="str">
        <f t="shared" si="8"/>
        <v>Olennainen</v>
      </c>
    </row>
    <row r="28" spans="1:40 16365:16383" ht="62.45">
      <c r="A28" s="5" t="s">
        <v>32</v>
      </c>
      <c r="B28" s="5" t="s">
        <v>396</v>
      </c>
      <c r="C28" s="22" t="s">
        <v>437</v>
      </c>
      <c r="E28" s="17" t="s">
        <v>25</v>
      </c>
      <c r="F28" s="17" t="s">
        <v>27</v>
      </c>
      <c r="G28" s="17"/>
      <c r="H28" s="17" t="s">
        <v>260</v>
      </c>
      <c r="I28" s="17"/>
      <c r="J28" s="17"/>
      <c r="K28" s="17"/>
      <c r="L28" s="32" t="s">
        <v>438</v>
      </c>
      <c r="M28" s="61" t="s">
        <v>439</v>
      </c>
      <c r="N28" s="23" t="s">
        <v>440</v>
      </c>
      <c r="O28" s="23" t="s">
        <v>441</v>
      </c>
      <c r="P28" s="9" t="s">
        <v>442</v>
      </c>
      <c r="Q28" s="9" t="s">
        <v>443</v>
      </c>
      <c r="R28" s="9"/>
      <c r="S28" s="9" t="s">
        <v>444</v>
      </c>
      <c r="U28" s="42" t="str">
        <f t="shared" si="0"/>
        <v>HAL-14, L:Julkinen, E:Vähäinen, S:, TS:Henkilötieto</v>
      </c>
      <c r="V28" s="42" t="str">
        <f t="shared" si="1"/>
        <v>Katakri: T-13, I-6</v>
      </c>
      <c r="W28" s="43">
        <f>IFERROR(VLOOKUP(A28,Esiehdot!A$11:D$15,4,0), 0)</f>
        <v>1</v>
      </c>
      <c r="X28" s="44">
        <f>IF(Esiehdot!D$4&gt;=IFERROR(VLOOKUP(E28,Valintalistat!D$2:H$7,5,0), 99),1,0)</f>
        <v>1</v>
      </c>
      <c r="Y28" s="44">
        <f>IF(Esiehdot!D$5&gt;=IFERROR(VLOOKUP(F28,Valintalistat!E$2:H$5,4,0), 99),1,0)</f>
        <v>1</v>
      </c>
      <c r="Z28" s="44">
        <f>IF(Esiehdot!D$6&gt;=IFERROR(VLOOKUP(G28,Valintalistat!F$2:H$5,3,0),99),1,0)</f>
        <v>0</v>
      </c>
      <c r="AA28" s="44">
        <f>IF(Esiehdot!D$8&gt;=IFERROR(VLOOKUP(H28,Valintalistat!G$2:H$5,2,0),99),1,0)</f>
        <v>0</v>
      </c>
      <c r="AB28" s="43">
        <f t="shared" si="2"/>
        <v>1</v>
      </c>
      <c r="AC28" s="44">
        <f>IF(Esiehdot!E$4=IFERROR(VLOOKUP(E28,Valintalistat!D$2:H$7,5,0),99),1,0)</f>
        <v>0</v>
      </c>
      <c r="AD28" s="44">
        <f>IF(Esiehdot!E$5=IFERROR(VLOOKUP(F28,Valintalistat!E$2:H$5,4,0),99),1,0)</f>
        <v>0</v>
      </c>
      <c r="AE28" s="44">
        <f>IF(Esiehdot!E$6=IFERROR(VLOOKUP(G28,Valintalistat!F$2:H$5,3,0),99),1,0)</f>
        <v>0</v>
      </c>
      <c r="AF28" s="44">
        <f>IF(Esiehdot!E$8=IFERROR(VLOOKUP(H28,Valintalistat!G$2:H$3,2,0),98),1,0)</f>
        <v>0</v>
      </c>
      <c r="AG28" s="43">
        <f t="shared" si="3"/>
        <v>0</v>
      </c>
      <c r="AH28" s="43">
        <f>IFERROR(HLOOKUP(Esiehdot!$B$17,Käyttötapauskriteerit!G$1:P28,28,0),1)</f>
        <v>1</v>
      </c>
      <c r="AI28" s="43">
        <f t="shared" si="4"/>
        <v>1</v>
      </c>
      <c r="AJ28" s="43">
        <f t="shared" si="5"/>
        <v>0</v>
      </c>
      <c r="AK28" s="43">
        <f t="shared" si="6"/>
        <v>0</v>
      </c>
      <c r="AL28" s="43">
        <f t="shared" si="7"/>
        <v>0</v>
      </c>
      <c r="AM28" s="43"/>
      <c r="AN28" s="45" t="str">
        <f t="shared" si="8"/>
        <v>Olennainen</v>
      </c>
    </row>
    <row r="29" spans="1:40 16365:16383" ht="37.5">
      <c r="A29" s="5" t="s">
        <v>32</v>
      </c>
      <c r="B29" s="5" t="s">
        <v>396</v>
      </c>
      <c r="C29" s="22" t="s">
        <v>445</v>
      </c>
      <c r="D29" s="22" t="s">
        <v>437</v>
      </c>
      <c r="E29" s="17" t="s">
        <v>446</v>
      </c>
      <c r="F29" s="17"/>
      <c r="G29" s="17"/>
      <c r="H29" s="17"/>
      <c r="I29" s="17"/>
      <c r="J29" s="17"/>
      <c r="K29" s="17"/>
      <c r="L29" s="32" t="s">
        <v>447</v>
      </c>
      <c r="M29" s="61" t="s">
        <v>448</v>
      </c>
      <c r="N29" s="23" t="s">
        <v>449</v>
      </c>
      <c r="O29" s="23"/>
      <c r="P29" s="9" t="s">
        <v>450</v>
      </c>
      <c r="Q29" s="9" t="s">
        <v>451</v>
      </c>
      <c r="R29" s="9"/>
      <c r="S29" s="9" t="s">
        <v>452</v>
      </c>
      <c r="U29" s="42" t="str">
        <f t="shared" si="0"/>
        <v>HAL-14.1, L:TL III, E:, S:, TS:</v>
      </c>
      <c r="V29" s="42" t="str">
        <f t="shared" si="1"/>
        <v>Katakri: T-13</v>
      </c>
      <c r="W29" s="43">
        <f>IFERROR(VLOOKUP(A29,Esiehdot!A$11:D$15,4,0), 0)</f>
        <v>1</v>
      </c>
      <c r="X29" s="44">
        <f>IF(Esiehdot!D$4&gt;=IFERROR(VLOOKUP(E29,Valintalistat!D$2:H$7,5,0), 99),1,0)</f>
        <v>0</v>
      </c>
      <c r="Y29" s="44">
        <f>IF(Esiehdot!D$5&gt;=IFERROR(VLOOKUP(F29,Valintalistat!E$2:H$5,4,0), 99),1,0)</f>
        <v>0</v>
      </c>
      <c r="Z29" s="44">
        <f>IF(Esiehdot!D$6&gt;=IFERROR(VLOOKUP(G29,Valintalistat!F$2:H$5,3,0),99),1,0)</f>
        <v>0</v>
      </c>
      <c r="AA29" s="44">
        <f>IF(Esiehdot!D$8&gt;=IFERROR(VLOOKUP(H29,Valintalistat!G$2:H$5,2,0),99),1,0)</f>
        <v>0</v>
      </c>
      <c r="AB29" s="43">
        <f t="shared" si="2"/>
        <v>0</v>
      </c>
      <c r="AC29" s="44">
        <f>IF(Esiehdot!E$4=IFERROR(VLOOKUP(E29,Valintalistat!D$2:H$7,5,0),99),1,0)</f>
        <v>0</v>
      </c>
      <c r="AD29" s="44">
        <f>IF(Esiehdot!E$5=IFERROR(VLOOKUP(F29,Valintalistat!E$2:H$5,4,0),99),1,0)</f>
        <v>0</v>
      </c>
      <c r="AE29" s="44">
        <f>IF(Esiehdot!E$6=IFERROR(VLOOKUP(G29,Valintalistat!F$2:H$5,3,0),99),1,0)</f>
        <v>0</v>
      </c>
      <c r="AF29" s="44">
        <f>IF(Esiehdot!E$8=IFERROR(VLOOKUP(H29,Valintalistat!G$2:H$3,2,0),98),1,0)</f>
        <v>0</v>
      </c>
      <c r="AG29" s="43">
        <f t="shared" si="3"/>
        <v>0</v>
      </c>
      <c r="AH29" s="43">
        <f>IFERROR(HLOOKUP(Esiehdot!$B$17,Käyttötapauskriteerit!G$1:P29,29,0),1)</f>
        <v>1</v>
      </c>
      <c r="AI29" s="43">
        <f t="shared" si="4"/>
        <v>0</v>
      </c>
      <c r="AJ29" s="43">
        <f t="shared" si="5"/>
        <v>0</v>
      </c>
      <c r="AK29" s="43">
        <f t="shared" si="6"/>
        <v>0</v>
      </c>
      <c r="AL29" s="43">
        <f t="shared" si="7"/>
        <v>0</v>
      </c>
      <c r="AM29" s="43"/>
      <c r="AN29" s="45" t="str">
        <f t="shared" si="8"/>
        <v>Ei ehdoteta hankintaan</v>
      </c>
    </row>
    <row r="30" spans="1:40 16365:16383" ht="50.1">
      <c r="A30" s="5" t="s">
        <v>32</v>
      </c>
      <c r="B30" s="5" t="s">
        <v>396</v>
      </c>
      <c r="C30" s="22" t="s">
        <v>453</v>
      </c>
      <c r="D30" s="22" t="s">
        <v>437</v>
      </c>
      <c r="E30" s="17" t="s">
        <v>276</v>
      </c>
      <c r="F30" s="17" t="s">
        <v>406</v>
      </c>
      <c r="G30" s="17"/>
      <c r="H30" s="17" t="s">
        <v>278</v>
      </c>
      <c r="I30" s="17"/>
      <c r="J30" s="17"/>
      <c r="K30" s="17"/>
      <c r="L30" s="32" t="s">
        <v>454</v>
      </c>
      <c r="M30" s="61" t="s">
        <v>455</v>
      </c>
      <c r="N30" s="23"/>
      <c r="O30" s="23"/>
      <c r="P30" s="9" t="s">
        <v>456</v>
      </c>
      <c r="Q30" s="9" t="s">
        <v>451</v>
      </c>
      <c r="R30" s="9"/>
      <c r="S30" s="9" t="s">
        <v>452</v>
      </c>
      <c r="U30" s="42" t="str">
        <f t="shared" si="0"/>
        <v>HAL-14.2, L:Salassa pidettävä, E:Kriittinen, S:, TS:Erityinen henkilötietoryhmä</v>
      </c>
      <c r="V30" s="42" t="str">
        <f t="shared" si="1"/>
        <v>Katakri: T-13</v>
      </c>
      <c r="W30" s="43">
        <f>IFERROR(VLOOKUP(A30,Esiehdot!A$11:D$15,4,0), 0)</f>
        <v>1</v>
      </c>
      <c r="X30" s="44">
        <f>IF(Esiehdot!D$4&gt;=IFERROR(VLOOKUP(E30,Valintalistat!D$2:H$7,5,0), 99),1,0)</f>
        <v>0</v>
      </c>
      <c r="Y30" s="44">
        <f>IF(Esiehdot!D$5&gt;=IFERROR(VLOOKUP(F30,Valintalistat!E$2:H$5,4,0), 99),1,0)</f>
        <v>0</v>
      </c>
      <c r="Z30" s="44">
        <f>IF(Esiehdot!D$6&gt;=IFERROR(VLOOKUP(G30,Valintalistat!F$2:H$5,3,0),99),1,0)</f>
        <v>0</v>
      </c>
      <c r="AA30" s="44">
        <f>IF(Esiehdot!D$8&gt;=IFERROR(VLOOKUP(H30,Valintalistat!G$2:H$5,2,0),99),1,0)</f>
        <v>0</v>
      </c>
      <c r="AB30" s="43">
        <f t="shared" si="2"/>
        <v>0</v>
      </c>
      <c r="AC30" s="44">
        <f>IF(Esiehdot!E$4=IFERROR(VLOOKUP(E30,Valintalistat!D$2:H$7,5,0),99),1,0)</f>
        <v>1</v>
      </c>
      <c r="AD30" s="44">
        <f>IF(Esiehdot!E$5=IFERROR(VLOOKUP(F30,Valintalistat!E$2:H$5,4,0),99),1,0)</f>
        <v>0</v>
      </c>
      <c r="AE30" s="44">
        <f>IF(Esiehdot!E$6=IFERROR(VLOOKUP(G30,Valintalistat!F$2:H$5,3,0),99),1,0)</f>
        <v>0</v>
      </c>
      <c r="AF30" s="44">
        <f>IF(Esiehdot!E$8=IFERROR(VLOOKUP(H30,Valintalistat!G$2:H$3,2,0),98),1,0)</f>
        <v>0</v>
      </c>
      <c r="AG30" s="43">
        <f t="shared" si="3"/>
        <v>1</v>
      </c>
      <c r="AH30" s="43">
        <f>IFERROR(HLOOKUP(Esiehdot!$B$17,Käyttötapauskriteerit!G$1:P30,30,0),1)</f>
        <v>1</v>
      </c>
      <c r="AI30" s="43">
        <f t="shared" si="4"/>
        <v>0</v>
      </c>
      <c r="AJ30" s="43">
        <f t="shared" si="5"/>
        <v>0</v>
      </c>
      <c r="AK30" s="43">
        <f t="shared" si="6"/>
        <v>1</v>
      </c>
      <c r="AL30" s="43">
        <f t="shared" si="7"/>
        <v>0</v>
      </c>
      <c r="AM30" s="43"/>
      <c r="AN30" s="45" t="str">
        <f t="shared" si="8"/>
        <v>Valinnainen</v>
      </c>
    </row>
    <row r="31" spans="1:40 16365:16383" ht="37.5">
      <c r="A31" s="5" t="s">
        <v>32</v>
      </c>
      <c r="B31" s="5" t="s">
        <v>396</v>
      </c>
      <c r="C31" s="22" t="s">
        <v>457</v>
      </c>
      <c r="E31" s="17" t="s">
        <v>25</v>
      </c>
      <c r="F31" s="17" t="s">
        <v>27</v>
      </c>
      <c r="G31" s="17" t="s">
        <v>27</v>
      </c>
      <c r="H31" s="17" t="s">
        <v>260</v>
      </c>
      <c r="I31" s="17"/>
      <c r="J31" s="17"/>
      <c r="K31" s="17"/>
      <c r="L31" s="32" t="s">
        <v>458</v>
      </c>
      <c r="M31" s="61" t="s">
        <v>459</v>
      </c>
      <c r="N31" s="23" t="s">
        <v>460</v>
      </c>
      <c r="O31" s="23" t="s">
        <v>461</v>
      </c>
      <c r="P31" s="9" t="s">
        <v>462</v>
      </c>
      <c r="Q31" s="9" t="s">
        <v>463</v>
      </c>
      <c r="R31" s="9"/>
      <c r="S31" s="9" t="s">
        <v>464</v>
      </c>
      <c r="U31" s="42" t="str">
        <f t="shared" si="0"/>
        <v>HAL-15, L:Julkinen, E:Vähäinen, S:Vähäinen, TS:Henkilötieto</v>
      </c>
      <c r="V31" s="42" t="str">
        <f t="shared" si="1"/>
        <v>Katakri: T-09</v>
      </c>
      <c r="W31" s="43">
        <f>IFERROR(VLOOKUP(A31,Esiehdot!A$11:D$15,4,0), 0)</f>
        <v>1</v>
      </c>
      <c r="X31" s="44">
        <f>IF(Esiehdot!D$4&gt;=IFERROR(VLOOKUP(E31,Valintalistat!D$2:H$7,5,0), 99),1,0)</f>
        <v>1</v>
      </c>
      <c r="Y31" s="44">
        <f>IF(Esiehdot!D$5&gt;=IFERROR(VLOOKUP(F31,Valintalistat!E$2:H$5,4,0), 99),1,0)</f>
        <v>1</v>
      </c>
      <c r="Z31" s="44">
        <f>IF(Esiehdot!D$6&gt;=IFERROR(VLOOKUP(G31,Valintalistat!F$2:H$5,3,0),99),1,0)</f>
        <v>1</v>
      </c>
      <c r="AA31" s="44">
        <f>IF(Esiehdot!D$8&gt;=IFERROR(VLOOKUP(H31,Valintalistat!G$2:H$5,2,0),99),1,0)</f>
        <v>0</v>
      </c>
      <c r="AB31" s="43">
        <f t="shared" si="2"/>
        <v>1</v>
      </c>
      <c r="AC31" s="44">
        <f>IF(Esiehdot!E$4=IFERROR(VLOOKUP(E31,Valintalistat!D$2:H$7,5,0),99),1,0)</f>
        <v>0</v>
      </c>
      <c r="AD31" s="44">
        <f>IF(Esiehdot!E$5=IFERROR(VLOOKUP(F31,Valintalistat!E$2:H$5,4,0),99),1,0)</f>
        <v>0</v>
      </c>
      <c r="AE31" s="44">
        <f>IF(Esiehdot!E$6=IFERROR(VLOOKUP(G31,Valintalistat!F$2:H$5,3,0),99),1,0)</f>
        <v>0</v>
      </c>
      <c r="AF31" s="44">
        <f>IF(Esiehdot!E$8=IFERROR(VLOOKUP(H31,Valintalistat!G$2:H$3,2,0),98),1,0)</f>
        <v>0</v>
      </c>
      <c r="AG31" s="43">
        <f t="shared" si="3"/>
        <v>0</v>
      </c>
      <c r="AH31" s="43">
        <f>IFERROR(HLOOKUP(Esiehdot!$B$17,Käyttötapauskriteerit!G$1:P31,31,0),1)</f>
        <v>1</v>
      </c>
      <c r="AI31" s="43">
        <f t="shared" si="4"/>
        <v>1</v>
      </c>
      <c r="AJ31" s="43">
        <f t="shared" si="5"/>
        <v>0</v>
      </c>
      <c r="AK31" s="43">
        <f t="shared" si="6"/>
        <v>0</v>
      </c>
      <c r="AL31" s="43">
        <f t="shared" si="7"/>
        <v>0</v>
      </c>
      <c r="AM31" s="43"/>
      <c r="AN31" s="45" t="str">
        <f t="shared" si="8"/>
        <v>Olennainen</v>
      </c>
    </row>
    <row r="32" spans="1:40 16365:16383" ht="62.45">
      <c r="A32" s="5" t="s">
        <v>32</v>
      </c>
      <c r="B32" s="5" t="s">
        <v>465</v>
      </c>
      <c r="C32" s="22" t="s">
        <v>466</v>
      </c>
      <c r="E32" s="17" t="s">
        <v>25</v>
      </c>
      <c r="F32" s="17" t="s">
        <v>27</v>
      </c>
      <c r="G32" s="17" t="s">
        <v>27</v>
      </c>
      <c r="H32" s="17" t="s">
        <v>260</v>
      </c>
      <c r="I32" s="17"/>
      <c r="J32" s="17"/>
      <c r="K32" s="17"/>
      <c r="L32" s="32" t="s">
        <v>467</v>
      </c>
      <c r="M32" s="61" t="s">
        <v>468</v>
      </c>
      <c r="N32" s="23" t="s">
        <v>469</v>
      </c>
      <c r="O32" s="23" t="s">
        <v>470</v>
      </c>
      <c r="P32" s="9" t="s">
        <v>471</v>
      </c>
      <c r="Q32" s="9" t="s">
        <v>472</v>
      </c>
      <c r="R32" s="9"/>
      <c r="S32" s="9" t="s">
        <v>473</v>
      </c>
      <c r="U32" s="42" t="str">
        <f t="shared" si="0"/>
        <v>HAL-16, L:Julkinen, E:Vähäinen, S:Vähäinen, TS:Henkilötieto</v>
      </c>
      <c r="V32" s="46" t="str">
        <f t="shared" si="1"/>
        <v>Katakri: I-13</v>
      </c>
      <c r="W32" s="46">
        <f>IFERROR(VLOOKUP(A32,Esiehdot!A$11:D$15,4,0), 0)</f>
        <v>1</v>
      </c>
      <c r="X32" s="46">
        <f>IF(Esiehdot!D$4&gt;=IFERROR(VLOOKUP(E32,Valintalistat!D$2:H$7,5,0), 99),1,0)</f>
        <v>1</v>
      </c>
      <c r="Y32" s="46">
        <f>IF(Esiehdot!D$5&gt;=IFERROR(VLOOKUP(F32,Valintalistat!E$2:H$5,4,0), 99),1,0)</f>
        <v>1</v>
      </c>
      <c r="Z32" s="46">
        <f>IF(Esiehdot!D$6&gt;=IFERROR(VLOOKUP(G32,Valintalistat!F$2:H$5,3,0),99),1,0)</f>
        <v>1</v>
      </c>
      <c r="AA32" s="46">
        <f>IF(Esiehdot!D$8&gt;=IFERROR(VLOOKUP(H32,Valintalistat!G$2:H$5,2,0),99),1,0)</f>
        <v>0</v>
      </c>
      <c r="AB32" s="46">
        <f t="shared" si="2"/>
        <v>1</v>
      </c>
      <c r="AC32" s="46">
        <f>IF(Esiehdot!E$4=IFERROR(VLOOKUP(E32,Valintalistat!D$2:H$7,5,0),99),1,0)</f>
        <v>0</v>
      </c>
      <c r="AD32" s="46">
        <f>IF(Esiehdot!E$5=IFERROR(VLOOKUP(F32,Valintalistat!E$2:H$5,4,0),99),1,0)</f>
        <v>0</v>
      </c>
      <c r="AE32" s="46">
        <f>IF(Esiehdot!E$6=IFERROR(VLOOKUP(G32,Valintalistat!F$2:H$5,3,0),99),1,0)</f>
        <v>0</v>
      </c>
      <c r="AF32" s="46">
        <f>IF(Esiehdot!E$8=IFERROR(VLOOKUP(H32,Valintalistat!G$2:H$3,2,0),98),1,0)</f>
        <v>0</v>
      </c>
      <c r="AG32" s="46">
        <f t="shared" si="3"/>
        <v>0</v>
      </c>
      <c r="AH32" s="46">
        <f>IFERROR(HLOOKUP(Esiehdot!$B$17,Käyttötapauskriteerit!G$1:P32,32,0),1)</f>
        <v>1</v>
      </c>
      <c r="AI32" s="46">
        <f t="shared" si="4"/>
        <v>1</v>
      </c>
      <c r="AJ32" s="46">
        <f t="shared" si="5"/>
        <v>0</v>
      </c>
      <c r="AK32" s="46">
        <f t="shared" si="6"/>
        <v>0</v>
      </c>
      <c r="AL32" s="46">
        <f t="shared" si="7"/>
        <v>0</v>
      </c>
      <c r="AM32" s="46"/>
      <c r="AN32" s="45" t="str">
        <f t="shared" si="8"/>
        <v>Olennainen</v>
      </c>
      <c r="XEK32" s="5"/>
      <c r="XEL32" s="5"/>
      <c r="XEM32" s="22"/>
      <c r="XEN32" s="22"/>
      <c r="XEO32" s="17"/>
      <c r="XEP32" s="17"/>
      <c r="XEQ32" s="17"/>
      <c r="XER32" s="17"/>
      <c r="XES32" s="17"/>
      <c r="XET32" s="17"/>
      <c r="XEU32" s="17"/>
      <c r="XEV32" s="32"/>
      <c r="XEW32" s="23"/>
      <c r="XEX32" s="23"/>
      <c r="XEY32" s="23"/>
      <c r="XEZ32" s="9"/>
      <c r="XFA32" s="9"/>
      <c r="XFB32" s="9"/>
      <c r="XFC32" s="9"/>
    </row>
    <row r="33" spans="1:40 16325:16383" ht="75">
      <c r="A33" s="5" t="s">
        <v>32</v>
      </c>
      <c r="B33" s="5" t="s">
        <v>465</v>
      </c>
      <c r="C33" s="22" t="s">
        <v>474</v>
      </c>
      <c r="D33" s="22" t="s">
        <v>466</v>
      </c>
      <c r="E33" s="17" t="s">
        <v>25</v>
      </c>
      <c r="F33" s="17" t="s">
        <v>27</v>
      </c>
      <c r="G33" s="17" t="s">
        <v>27</v>
      </c>
      <c r="H33" s="17" t="s">
        <v>260</v>
      </c>
      <c r="I33" s="17"/>
      <c r="J33" s="17"/>
      <c r="K33" s="17"/>
      <c r="L33" s="32" t="s">
        <v>475</v>
      </c>
      <c r="M33" s="61" t="s">
        <v>476</v>
      </c>
      <c r="N33" s="23" t="s">
        <v>477</v>
      </c>
      <c r="O33" s="23"/>
      <c r="P33" s="9" t="s">
        <v>478</v>
      </c>
      <c r="Q33" s="9" t="s">
        <v>479</v>
      </c>
      <c r="R33" s="9"/>
      <c r="S33" s="9" t="s">
        <v>473</v>
      </c>
      <c r="U33" s="42" t="str">
        <f t="shared" si="0"/>
        <v>HAL-16.1, L:Julkinen, E:Vähäinen, S:Vähäinen, TS:Henkilötieto</v>
      </c>
      <c r="V33" s="42" t="str">
        <f t="shared" si="1"/>
        <v>Katakri: I-13</v>
      </c>
      <c r="W33" s="43">
        <f>IFERROR(VLOOKUP(A33,Esiehdot!A$11:D$15,4,0), 0)</f>
        <v>1</v>
      </c>
      <c r="X33" s="44">
        <f>IF(Esiehdot!D$4&gt;=IFERROR(VLOOKUP(E33,Valintalistat!D$2:H$7,5,0), 99),1,0)</f>
        <v>1</v>
      </c>
      <c r="Y33" s="44">
        <f>IF(Esiehdot!D$5&gt;=IFERROR(VLOOKUP(F33,Valintalistat!E$2:H$5,4,0), 99),1,0)</f>
        <v>1</v>
      </c>
      <c r="Z33" s="44">
        <f>IF(Esiehdot!D$6&gt;=IFERROR(VLOOKUP(G33,Valintalistat!F$2:H$5,3,0),99),1,0)</f>
        <v>1</v>
      </c>
      <c r="AA33" s="44">
        <f>IF(Esiehdot!D$8&gt;=IFERROR(VLOOKUP(H33,Valintalistat!G$2:H$5,2,0),99),1,0)</f>
        <v>0</v>
      </c>
      <c r="AB33" s="43">
        <f t="shared" si="2"/>
        <v>1</v>
      </c>
      <c r="AC33" s="44">
        <f>IF(Esiehdot!E$4=IFERROR(VLOOKUP(E33,Valintalistat!D$2:H$7,5,0),99),1,0)</f>
        <v>0</v>
      </c>
      <c r="AD33" s="44">
        <f>IF(Esiehdot!E$5=IFERROR(VLOOKUP(F33,Valintalistat!E$2:H$5,4,0),99),1,0)</f>
        <v>0</v>
      </c>
      <c r="AE33" s="44">
        <f>IF(Esiehdot!E$6=IFERROR(VLOOKUP(G33,Valintalistat!F$2:H$5,3,0),99),1,0)</f>
        <v>0</v>
      </c>
      <c r="AF33" s="44">
        <f>IF(Esiehdot!E$8=IFERROR(VLOOKUP(H33,Valintalistat!G$2:H$3,2,0),98),1,0)</f>
        <v>0</v>
      </c>
      <c r="AG33" s="43">
        <f t="shared" si="3"/>
        <v>0</v>
      </c>
      <c r="AH33" s="43">
        <f>IFERROR(HLOOKUP(Esiehdot!$B$17,Käyttötapauskriteerit!G$1:P33,33,0),1)</f>
        <v>1</v>
      </c>
      <c r="AI33" s="43">
        <f t="shared" si="4"/>
        <v>1</v>
      </c>
      <c r="AJ33" s="43">
        <f t="shared" si="5"/>
        <v>0</v>
      </c>
      <c r="AK33" s="43">
        <f t="shared" si="6"/>
        <v>0</v>
      </c>
      <c r="AL33" s="43">
        <f t="shared" si="7"/>
        <v>0</v>
      </c>
      <c r="AM33" s="43"/>
      <c r="AN33" s="45" t="str">
        <f t="shared" si="8"/>
        <v>Olennainen</v>
      </c>
    </row>
    <row r="34" spans="1:40 16325:16383" ht="62.45">
      <c r="A34" s="5" t="s">
        <v>32</v>
      </c>
      <c r="B34" s="5" t="s">
        <v>465</v>
      </c>
      <c r="C34" s="22" t="s">
        <v>480</v>
      </c>
      <c r="E34" s="17"/>
      <c r="F34" s="17" t="s">
        <v>277</v>
      </c>
      <c r="G34" s="17" t="s">
        <v>277</v>
      </c>
      <c r="H34" s="17"/>
      <c r="I34" s="17"/>
      <c r="J34" s="17"/>
      <c r="K34" s="17"/>
      <c r="L34" s="32" t="s">
        <v>481</v>
      </c>
      <c r="M34" s="61" t="s">
        <v>482</v>
      </c>
      <c r="N34" s="23" t="s">
        <v>483</v>
      </c>
      <c r="O34" s="23" t="s">
        <v>484</v>
      </c>
      <c r="P34" s="9" t="s">
        <v>485</v>
      </c>
      <c r="Q34" s="9" t="s">
        <v>486</v>
      </c>
      <c r="R34" s="9"/>
      <c r="S34" s="9"/>
      <c r="U34" s="42" t="str">
        <f t="shared" si="0"/>
        <v>HAL-17, L:, E:Tärkeä, S:Tärkeä, TS:</v>
      </c>
      <c r="V34" s="46" t="str">
        <f t="shared" si="1"/>
        <v/>
      </c>
      <c r="W34" s="46">
        <f>IFERROR(VLOOKUP(A34,Esiehdot!A$11:D$15,4,0), 0)</f>
        <v>1</v>
      </c>
      <c r="X34" s="46">
        <f>IF(Esiehdot!D$4&gt;=IFERROR(VLOOKUP(E34,Valintalistat!D$2:H$7,5,0), 99),1,0)</f>
        <v>0</v>
      </c>
      <c r="Y34" s="46">
        <f>IF(Esiehdot!D$5&gt;=IFERROR(VLOOKUP(F34,Valintalistat!E$2:H$5,4,0), 99),1,0)</f>
        <v>0</v>
      </c>
      <c r="Z34" s="46">
        <f>IF(Esiehdot!D$6&gt;=IFERROR(VLOOKUP(G34,Valintalistat!F$2:H$5,3,0),99),1,0)</f>
        <v>0</v>
      </c>
      <c r="AA34" s="46">
        <f>IF(Esiehdot!D$8&gt;=IFERROR(VLOOKUP(H34,Valintalistat!G$2:H$5,2,0),99),1,0)</f>
        <v>0</v>
      </c>
      <c r="AB34" s="46">
        <f t="shared" si="2"/>
        <v>0</v>
      </c>
      <c r="AC34" s="46">
        <f>IF(Esiehdot!E$4=IFERROR(VLOOKUP(E34,Valintalistat!D$2:H$7,5,0),99),1,0)</f>
        <v>0</v>
      </c>
      <c r="AD34" s="46">
        <f>IF(Esiehdot!E$5=IFERROR(VLOOKUP(F34,Valintalistat!E$2:H$5,4,0),99),1,0)</f>
        <v>0</v>
      </c>
      <c r="AE34" s="46">
        <f>IF(Esiehdot!E$6=IFERROR(VLOOKUP(G34,Valintalistat!F$2:H$5,3,0),99),1,0)</f>
        <v>0</v>
      </c>
      <c r="AF34" s="46">
        <f>IF(Esiehdot!E$8=IFERROR(VLOOKUP(H34,Valintalistat!G$2:H$3,2,0),98),1,0)</f>
        <v>0</v>
      </c>
      <c r="AG34" s="46">
        <f t="shared" si="3"/>
        <v>0</v>
      </c>
      <c r="AH34" s="46">
        <f>IFERROR(HLOOKUP(Esiehdot!$B$17,Käyttötapauskriteerit!G$1:P34,34,0),1)</f>
        <v>1</v>
      </c>
      <c r="AI34" s="46">
        <f t="shared" si="4"/>
        <v>0</v>
      </c>
      <c r="AJ34" s="46">
        <f t="shared" si="5"/>
        <v>0</v>
      </c>
      <c r="AK34" s="46">
        <f t="shared" si="6"/>
        <v>0</v>
      </c>
      <c r="AL34" s="46">
        <f t="shared" si="7"/>
        <v>0</v>
      </c>
      <c r="AM34" s="46"/>
      <c r="AN34" s="45" t="str">
        <f t="shared" si="8"/>
        <v>Ei ehdoteta hankintaan</v>
      </c>
      <c r="XDQ34" s="5"/>
      <c r="XDR34" s="5"/>
      <c r="XDS34" s="22"/>
      <c r="XDT34" s="22"/>
      <c r="XDU34" s="17"/>
      <c r="XDV34" s="17"/>
      <c r="XDW34" s="17"/>
      <c r="XDX34" s="17"/>
      <c r="XDY34" s="17"/>
      <c r="XDZ34" s="17"/>
      <c r="XEA34" s="17"/>
      <c r="XEB34" s="32"/>
      <c r="XEC34" s="23"/>
      <c r="XED34" s="23"/>
      <c r="XEE34" s="23"/>
      <c r="XEF34" s="9"/>
      <c r="XEG34" s="9"/>
      <c r="XEH34" s="9"/>
      <c r="XEI34" s="9"/>
      <c r="XEK34" s="5"/>
      <c r="XEL34" s="5"/>
      <c r="XEM34" s="22"/>
      <c r="XEN34" s="22"/>
      <c r="XEO34" s="17"/>
      <c r="XEP34" s="17"/>
      <c r="XEQ34" s="17"/>
      <c r="XER34" s="17"/>
      <c r="XES34" s="17"/>
      <c r="XET34" s="17"/>
      <c r="XEU34" s="17"/>
      <c r="XEV34" s="32"/>
      <c r="XEW34" s="23"/>
      <c r="XEX34" s="23"/>
      <c r="XEY34" s="23"/>
      <c r="XEZ34" s="9"/>
      <c r="XFA34" s="9"/>
      <c r="XFB34" s="9"/>
      <c r="XFC34" s="9"/>
    </row>
    <row r="35" spans="1:40 16325:16383" ht="50.1">
      <c r="A35" s="5" t="s">
        <v>32</v>
      </c>
      <c r="B35" s="5" t="s">
        <v>465</v>
      </c>
      <c r="C35" s="22" t="s">
        <v>487</v>
      </c>
      <c r="D35" s="22" t="s">
        <v>480</v>
      </c>
      <c r="E35" s="17" t="s">
        <v>25</v>
      </c>
      <c r="F35" s="17" t="s">
        <v>27</v>
      </c>
      <c r="G35" s="17" t="s">
        <v>27</v>
      </c>
      <c r="H35" s="17" t="s">
        <v>260</v>
      </c>
      <c r="I35" s="17"/>
      <c r="J35" s="17"/>
      <c r="K35" s="17"/>
      <c r="L35" s="32" t="s">
        <v>488</v>
      </c>
      <c r="M35" s="61" t="s">
        <v>489</v>
      </c>
      <c r="N35" s="23" t="s">
        <v>490</v>
      </c>
      <c r="O35" s="23"/>
      <c r="P35" s="9" t="s">
        <v>491</v>
      </c>
      <c r="Q35" s="9" t="s">
        <v>492</v>
      </c>
      <c r="R35" s="9"/>
      <c r="S35" s="9"/>
      <c r="U35" s="42" t="str">
        <f t="shared" si="0"/>
        <v>HAL-17.1, L:Julkinen, E:Vähäinen, S:Vähäinen, TS:Henkilötieto</v>
      </c>
      <c r="V35" s="46" t="str">
        <f t="shared" si="1"/>
        <v/>
      </c>
      <c r="W35" s="46">
        <f>IFERROR(VLOOKUP(A35,Esiehdot!A$11:D$15,4,0), 0)</f>
        <v>1</v>
      </c>
      <c r="X35" s="46">
        <f>IF(Esiehdot!D$4&gt;=IFERROR(VLOOKUP(E35,Valintalistat!D$2:H$7,5,0), 99),1,0)</f>
        <v>1</v>
      </c>
      <c r="Y35" s="46">
        <f>IF(Esiehdot!D$5&gt;=IFERROR(VLOOKUP(F35,Valintalistat!E$2:H$5,4,0), 99),1,0)</f>
        <v>1</v>
      </c>
      <c r="Z35" s="46">
        <f>IF(Esiehdot!D$6&gt;=IFERROR(VLOOKUP(G35,Valintalistat!F$2:H$5,3,0),99),1,0)</f>
        <v>1</v>
      </c>
      <c r="AA35" s="46">
        <f>IF(Esiehdot!D$8&gt;=IFERROR(VLOOKUP(H35,Valintalistat!G$2:H$5,2,0),99),1,0)</f>
        <v>0</v>
      </c>
      <c r="AB35" s="46">
        <f t="shared" si="2"/>
        <v>1</v>
      </c>
      <c r="AC35" s="46">
        <f>IF(Esiehdot!E$4=IFERROR(VLOOKUP(E35,Valintalistat!D$2:H$7,5,0),99),1,0)</f>
        <v>0</v>
      </c>
      <c r="AD35" s="46">
        <f>IF(Esiehdot!E$5=IFERROR(VLOOKUP(F35,Valintalistat!E$2:H$5,4,0),99),1,0)</f>
        <v>0</v>
      </c>
      <c r="AE35" s="46">
        <f>IF(Esiehdot!E$6=IFERROR(VLOOKUP(G35,Valintalistat!F$2:H$5,3,0),99),1,0)</f>
        <v>0</v>
      </c>
      <c r="AF35" s="46">
        <f>IF(Esiehdot!E$8=IFERROR(VLOOKUP(H35,Valintalistat!G$2:H$3,2,0),98),1,0)</f>
        <v>0</v>
      </c>
      <c r="AG35" s="46">
        <f t="shared" si="3"/>
        <v>0</v>
      </c>
      <c r="AH35" s="46">
        <f>IFERROR(HLOOKUP(Esiehdot!$B$17,Käyttötapauskriteerit!G$1:P35,35,0),1)</f>
        <v>1</v>
      </c>
      <c r="AI35" s="46">
        <f t="shared" si="4"/>
        <v>1</v>
      </c>
      <c r="AJ35" s="46">
        <f t="shared" si="5"/>
        <v>0</v>
      </c>
      <c r="AK35" s="46">
        <f t="shared" si="6"/>
        <v>0</v>
      </c>
      <c r="AL35" s="46">
        <f t="shared" si="7"/>
        <v>0</v>
      </c>
      <c r="AM35" s="46"/>
      <c r="AN35" s="45" t="str">
        <f t="shared" si="8"/>
        <v>Olennainen</v>
      </c>
      <c r="XCW35" s="5"/>
      <c r="XCX35" s="5"/>
      <c r="XCY35" s="22"/>
      <c r="XCZ35" s="22"/>
      <c r="XDA35" s="17"/>
      <c r="XDB35" s="17"/>
      <c r="XDC35" s="17"/>
      <c r="XDD35" s="17"/>
      <c r="XDE35" s="17"/>
      <c r="XDF35" s="17"/>
      <c r="XDG35" s="17"/>
      <c r="XDH35" s="32"/>
      <c r="XDI35" s="23"/>
      <c r="XDJ35" s="23"/>
      <c r="XDK35" s="23"/>
      <c r="XDL35" s="9"/>
      <c r="XDM35" s="9"/>
      <c r="XDN35" s="9"/>
      <c r="XDO35" s="9"/>
      <c r="XDQ35" s="5"/>
      <c r="XDR35" s="5"/>
      <c r="XDS35" s="22"/>
      <c r="XDT35" s="22"/>
      <c r="XDU35" s="17"/>
      <c r="XDV35" s="17"/>
      <c r="XDW35" s="17"/>
      <c r="XDX35" s="17"/>
      <c r="XDY35" s="17"/>
      <c r="XDZ35" s="17"/>
      <c r="XEA35" s="17"/>
      <c r="XEB35" s="32"/>
      <c r="XEC35" s="23"/>
      <c r="XED35" s="23"/>
      <c r="XEE35" s="23"/>
      <c r="XEF35" s="9"/>
      <c r="XEG35" s="9"/>
      <c r="XEH35" s="9"/>
      <c r="XEI35" s="9"/>
      <c r="XEK35" s="5"/>
      <c r="XEL35" s="5"/>
      <c r="XEM35" s="22"/>
      <c r="XEN35" s="22"/>
      <c r="XEO35" s="17"/>
      <c r="XEP35" s="17"/>
      <c r="XEQ35" s="17"/>
      <c r="XER35" s="17"/>
      <c r="XES35" s="17"/>
      <c r="XET35" s="17"/>
      <c r="XEU35" s="17"/>
      <c r="XEV35" s="32"/>
      <c r="XEW35" s="23"/>
      <c r="XEX35" s="23"/>
      <c r="XEY35" s="23"/>
      <c r="XEZ35" s="9"/>
      <c r="XFA35" s="9"/>
      <c r="XFB35" s="9"/>
      <c r="XFC35" s="9"/>
    </row>
    <row r="36" spans="1:40 16325:16383" ht="62.45">
      <c r="A36" s="5" t="s">
        <v>32</v>
      </c>
      <c r="B36" s="5" t="s">
        <v>465</v>
      </c>
      <c r="C36" s="22" t="s">
        <v>493</v>
      </c>
      <c r="E36" s="17" t="s">
        <v>25</v>
      </c>
      <c r="F36" s="17"/>
      <c r="G36" s="17"/>
      <c r="H36" s="17"/>
      <c r="I36" s="17"/>
      <c r="J36" s="17"/>
      <c r="K36" s="17"/>
      <c r="L36" s="32" t="s">
        <v>494</v>
      </c>
      <c r="M36" s="61" t="s">
        <v>495</v>
      </c>
      <c r="N36" s="23" t="s">
        <v>496</v>
      </c>
      <c r="O36" s="23" t="s">
        <v>497</v>
      </c>
      <c r="P36" s="9" t="s">
        <v>498</v>
      </c>
      <c r="Q36" s="9"/>
      <c r="R36" s="9"/>
      <c r="S36" s="9"/>
      <c r="U36" s="42" t="str">
        <f t="shared" si="0"/>
        <v>HAL-18, L:Julkinen, E:, S:, TS:</v>
      </c>
      <c r="V36" s="46" t="str">
        <f t="shared" si="1"/>
        <v/>
      </c>
      <c r="W36" s="46">
        <f>IFERROR(VLOOKUP(A36,Esiehdot!A$11:D$15,4,0), 0)</f>
        <v>1</v>
      </c>
      <c r="X36" s="46">
        <f>IF(Esiehdot!D$4&gt;=IFERROR(VLOOKUP(E36,Valintalistat!D$2:H$7,5,0), 99),1,0)</f>
        <v>1</v>
      </c>
      <c r="Y36" s="46">
        <f>IF(Esiehdot!D$5&gt;=IFERROR(VLOOKUP(F36,Valintalistat!E$2:H$5,4,0), 99),1,0)</f>
        <v>0</v>
      </c>
      <c r="Z36" s="46">
        <f>IF(Esiehdot!D$6&gt;=IFERROR(VLOOKUP(G36,Valintalistat!F$2:H$5,3,0),99),1,0)</f>
        <v>0</v>
      </c>
      <c r="AA36" s="46">
        <f>IF(Esiehdot!D$8&gt;=IFERROR(VLOOKUP(H36,Valintalistat!G$2:H$5,2,0),99),1,0)</f>
        <v>0</v>
      </c>
      <c r="AB36" s="46">
        <f t="shared" si="2"/>
        <v>1</v>
      </c>
      <c r="AC36" s="46">
        <f>IF(Esiehdot!E$4=IFERROR(VLOOKUP(E36,Valintalistat!D$2:H$7,5,0),99),1,0)</f>
        <v>0</v>
      </c>
      <c r="AD36" s="46">
        <f>IF(Esiehdot!E$5=IFERROR(VLOOKUP(F36,Valintalistat!E$2:H$5,4,0),99),1,0)</f>
        <v>0</v>
      </c>
      <c r="AE36" s="46">
        <f>IF(Esiehdot!E$6=IFERROR(VLOOKUP(G36,Valintalistat!F$2:H$5,3,0),99),1,0)</f>
        <v>0</v>
      </c>
      <c r="AF36" s="46">
        <f>IF(Esiehdot!E$8=IFERROR(VLOOKUP(H36,Valintalistat!G$2:H$3,2,0),98),1,0)</f>
        <v>0</v>
      </c>
      <c r="AG36" s="46">
        <f t="shared" si="3"/>
        <v>0</v>
      </c>
      <c r="AH36" s="46">
        <f>IFERROR(HLOOKUP(Esiehdot!$B$17,Käyttötapauskriteerit!G$1:P36,36,0),1)</f>
        <v>1</v>
      </c>
      <c r="AI36" s="46">
        <f t="shared" si="4"/>
        <v>1</v>
      </c>
      <c r="AJ36" s="46">
        <f t="shared" si="5"/>
        <v>0</v>
      </c>
      <c r="AK36" s="46">
        <f t="shared" si="6"/>
        <v>0</v>
      </c>
      <c r="AL36" s="46">
        <f t="shared" si="7"/>
        <v>0</v>
      </c>
      <c r="AM36" s="46"/>
      <c r="AN36" s="45" t="str">
        <f t="shared" si="8"/>
        <v>Olennainen</v>
      </c>
      <c r="XEK36" s="5"/>
      <c r="XEL36" s="5"/>
      <c r="XEM36" s="22"/>
      <c r="XEN36" s="22"/>
      <c r="XEO36" s="17"/>
      <c r="XEP36" s="17"/>
      <c r="XEQ36" s="17"/>
      <c r="XER36" s="17"/>
      <c r="XES36" s="17"/>
      <c r="XET36" s="17"/>
      <c r="XEU36" s="17"/>
      <c r="XEV36" s="32"/>
      <c r="XEW36" s="23"/>
      <c r="XEX36" s="23"/>
      <c r="XEY36" s="23"/>
      <c r="XEZ36" s="9"/>
      <c r="XFA36" s="9"/>
      <c r="XFB36" s="9"/>
      <c r="XFC36" s="9"/>
    </row>
    <row r="37" spans="1:40 16325:16383" ht="50.1">
      <c r="A37" s="5" t="s">
        <v>32</v>
      </c>
      <c r="B37" s="5" t="s">
        <v>499</v>
      </c>
      <c r="C37" s="22" t="s">
        <v>500</v>
      </c>
      <c r="E37" s="17" t="s">
        <v>25</v>
      </c>
      <c r="F37" s="17"/>
      <c r="G37" s="17"/>
      <c r="H37" s="17" t="s">
        <v>260</v>
      </c>
      <c r="I37" s="17"/>
      <c r="J37" s="17"/>
      <c r="K37" s="17"/>
      <c r="L37" s="32" t="s">
        <v>501</v>
      </c>
      <c r="M37" s="61" t="s">
        <v>502</v>
      </c>
      <c r="N37" s="23" t="s">
        <v>503</v>
      </c>
      <c r="O37" s="23" t="s">
        <v>504</v>
      </c>
      <c r="P37" s="9" t="s">
        <v>505</v>
      </c>
      <c r="Q37" s="9" t="s">
        <v>506</v>
      </c>
      <c r="R37" s="9" t="s">
        <v>507</v>
      </c>
      <c r="S37" s="9" t="s">
        <v>508</v>
      </c>
      <c r="U37" s="42" t="str">
        <f t="shared" si="0"/>
        <v>HAL-19, L:Julkinen, E:, S:, TS:Henkilötieto</v>
      </c>
      <c r="V37" s="46" t="str">
        <f t="shared" si="1"/>
        <v>Julkri: FYY-03, FYY-04, TEK-09; Katakri: I-17</v>
      </c>
      <c r="W37" s="46">
        <f>IFERROR(VLOOKUP(A37,Esiehdot!A$11:D$15,4,0), 0)</f>
        <v>1</v>
      </c>
      <c r="X37" s="46">
        <f>IF(Esiehdot!D$4&gt;=IFERROR(VLOOKUP(E37,Valintalistat!D$2:H$7,5,0), 99),1,0)</f>
        <v>1</v>
      </c>
      <c r="Y37" s="46">
        <f>IF(Esiehdot!D$5&gt;=IFERROR(VLOOKUP(F37,Valintalistat!E$2:H$5,4,0), 99),1,0)</f>
        <v>0</v>
      </c>
      <c r="Z37" s="46">
        <f>IF(Esiehdot!D$6&gt;=IFERROR(VLOOKUP(G37,Valintalistat!F$2:H$5,3,0),99),1,0)</f>
        <v>0</v>
      </c>
      <c r="AA37" s="46">
        <f>IF(Esiehdot!D$8&gt;=IFERROR(VLOOKUP(H37,Valintalistat!G$2:H$5,2,0),99),1,0)</f>
        <v>0</v>
      </c>
      <c r="AB37" s="46">
        <f t="shared" si="2"/>
        <v>1</v>
      </c>
      <c r="AC37" s="46">
        <f>IF(Esiehdot!E$4=IFERROR(VLOOKUP(E37,Valintalistat!D$2:H$7,5,0),99),1,0)</f>
        <v>0</v>
      </c>
      <c r="AD37" s="46">
        <f>IF(Esiehdot!E$5=IFERROR(VLOOKUP(F37,Valintalistat!E$2:H$5,4,0),99),1,0)</f>
        <v>0</v>
      </c>
      <c r="AE37" s="46">
        <f>IF(Esiehdot!E$6=IFERROR(VLOOKUP(G37,Valintalistat!F$2:H$5,3,0),99),1,0)</f>
        <v>0</v>
      </c>
      <c r="AF37" s="46">
        <f>IF(Esiehdot!E$8=IFERROR(VLOOKUP(H37,Valintalistat!G$2:H$3,2,0),98),1,0)</f>
        <v>0</v>
      </c>
      <c r="AG37" s="46">
        <f t="shared" si="3"/>
        <v>0</v>
      </c>
      <c r="AH37" s="46">
        <f>IFERROR(HLOOKUP(Esiehdot!$B$17,Käyttötapauskriteerit!G$1:P37,37,0),1)</f>
        <v>1</v>
      </c>
      <c r="AI37" s="46">
        <f t="shared" si="4"/>
        <v>1</v>
      </c>
      <c r="AJ37" s="46">
        <f t="shared" si="5"/>
        <v>0</v>
      </c>
      <c r="AK37" s="46">
        <f t="shared" si="6"/>
        <v>0</v>
      </c>
      <c r="AL37" s="46">
        <f t="shared" si="7"/>
        <v>0</v>
      </c>
      <c r="AM37" s="46"/>
      <c r="AN37" s="45" t="str">
        <f t="shared" si="8"/>
        <v>Olennainen</v>
      </c>
      <c r="XEK37" s="5"/>
      <c r="XEL37" s="5"/>
      <c r="XEM37" s="22"/>
      <c r="XEN37" s="22"/>
      <c r="XEO37" s="17"/>
      <c r="XEP37" s="17"/>
      <c r="XEQ37" s="17"/>
      <c r="XER37" s="17"/>
      <c r="XES37" s="17"/>
      <c r="XET37" s="17"/>
      <c r="XEU37" s="17"/>
      <c r="XEV37" s="32"/>
      <c r="XEW37" s="23"/>
      <c r="XEX37" s="23"/>
      <c r="XEY37" s="23"/>
      <c r="XEZ37" s="9"/>
      <c r="XFA37" s="9"/>
      <c r="XFB37" s="9"/>
      <c r="XFC37" s="9"/>
    </row>
    <row r="38" spans="1:40 16325:16383" ht="37.5">
      <c r="A38" s="5" t="s">
        <v>34</v>
      </c>
      <c r="B38" s="5" t="s">
        <v>509</v>
      </c>
      <c r="C38" s="22" t="s">
        <v>510</v>
      </c>
      <c r="E38" s="17" t="s">
        <v>25</v>
      </c>
      <c r="F38" s="17" t="s">
        <v>27</v>
      </c>
      <c r="G38" s="17" t="s">
        <v>27</v>
      </c>
      <c r="H38" s="17" t="s">
        <v>260</v>
      </c>
      <c r="I38" s="17"/>
      <c r="J38" s="17" t="s">
        <v>511</v>
      </c>
      <c r="K38" s="17" t="s">
        <v>512</v>
      </c>
      <c r="L38" s="32" t="s">
        <v>513</v>
      </c>
      <c r="M38" s="61" t="s">
        <v>514</v>
      </c>
      <c r="N38" s="23" t="s">
        <v>515</v>
      </c>
      <c r="O38" s="23" t="s">
        <v>516</v>
      </c>
      <c r="P38" s="9" t="s">
        <v>517</v>
      </c>
      <c r="Q38" s="9" t="s">
        <v>518</v>
      </c>
      <c r="R38" s="9" t="s">
        <v>346</v>
      </c>
      <c r="S38" s="9" t="s">
        <v>519</v>
      </c>
      <c r="U38" s="42" t="str">
        <f t="shared" si="0"/>
        <v>FYY-01, L:Julkinen, E:Vähäinen, S:Vähäinen, TS:Henkilötieto</v>
      </c>
      <c r="V38" s="42" t="str">
        <f t="shared" si="1"/>
        <v>Julkri: HAL-06; Katakri: F-02</v>
      </c>
      <c r="W38" s="43">
        <f>IFERROR(VLOOKUP(A38,Esiehdot!A$11:D$15,4,0), 0)</f>
        <v>1</v>
      </c>
      <c r="X38" s="44">
        <f>IF(Esiehdot!D$4&gt;=IFERROR(VLOOKUP(E38,Valintalistat!D$2:H$7,5,0), 99),1,0)</f>
        <v>1</v>
      </c>
      <c r="Y38" s="44">
        <f>IF(Esiehdot!D$5&gt;=IFERROR(VLOOKUP(F38,Valintalistat!E$2:H$5,4,0), 99),1,0)</f>
        <v>1</v>
      </c>
      <c r="Z38" s="44">
        <f>IF(Esiehdot!D$6&gt;=IFERROR(VLOOKUP(G38,Valintalistat!F$2:H$5,3,0),99),1,0)</f>
        <v>1</v>
      </c>
      <c r="AA38" s="44">
        <f>IF(Esiehdot!D$8&gt;=IFERROR(VLOOKUP(H38,Valintalistat!G$2:H$5,2,0),99),1,0)</f>
        <v>0</v>
      </c>
      <c r="AB38" s="43">
        <f t="shared" si="2"/>
        <v>1</v>
      </c>
      <c r="AC38" s="44">
        <f>IF(Esiehdot!E$4=IFERROR(VLOOKUP(E38,Valintalistat!D$2:H$7,5,0),99),1,0)</f>
        <v>0</v>
      </c>
      <c r="AD38" s="44">
        <f>IF(Esiehdot!E$5=IFERROR(VLOOKUP(F38,Valintalistat!E$2:H$5,4,0),99),1,0)</f>
        <v>0</v>
      </c>
      <c r="AE38" s="44">
        <f>IF(Esiehdot!E$6=IFERROR(VLOOKUP(G38,Valintalistat!F$2:H$5,3,0),99),1,0)</f>
        <v>0</v>
      </c>
      <c r="AF38" s="44">
        <f>IF(Esiehdot!E$8=IFERROR(VLOOKUP(H38,Valintalistat!G$2:H$3,2,0),98),1,0)</f>
        <v>0</v>
      </c>
      <c r="AG38" s="43">
        <f t="shared" si="3"/>
        <v>0</v>
      </c>
      <c r="AH38" s="43">
        <f>IFERROR(HLOOKUP(Esiehdot!$B$17,Käyttötapauskriteerit!G$1:P38,38,0),1)</f>
        <v>1</v>
      </c>
      <c r="AI38" s="43">
        <f t="shared" si="4"/>
        <v>1</v>
      </c>
      <c r="AJ38" s="43">
        <f t="shared" si="5"/>
        <v>0</v>
      </c>
      <c r="AK38" s="43">
        <f t="shared" si="6"/>
        <v>0</v>
      </c>
      <c r="AL38" s="43">
        <f t="shared" si="7"/>
        <v>0</v>
      </c>
      <c r="AM38" s="43"/>
      <c r="AN38" s="45" t="str">
        <f t="shared" si="8"/>
        <v>Olennainen</v>
      </c>
    </row>
    <row r="39" spans="1:40 16325:16383" ht="50.1">
      <c r="A39" s="5" t="s">
        <v>34</v>
      </c>
      <c r="B39" s="5" t="s">
        <v>509</v>
      </c>
      <c r="C39" s="22" t="s">
        <v>520</v>
      </c>
      <c r="D39" s="22" t="s">
        <v>510</v>
      </c>
      <c r="E39" s="17" t="s">
        <v>446</v>
      </c>
      <c r="F39" s="17"/>
      <c r="G39" s="17"/>
      <c r="H39" s="17"/>
      <c r="I39" s="17"/>
      <c r="J39" s="17" t="s">
        <v>511</v>
      </c>
      <c r="K39" s="17" t="s">
        <v>512</v>
      </c>
      <c r="L39" s="32" t="s">
        <v>521</v>
      </c>
      <c r="M39" s="61" t="s">
        <v>522</v>
      </c>
      <c r="N39" s="23" t="s">
        <v>523</v>
      </c>
      <c r="O39" s="23"/>
      <c r="P39" s="9" t="s">
        <v>524</v>
      </c>
      <c r="Q39" s="9"/>
      <c r="R39" s="9" t="s">
        <v>525</v>
      </c>
      <c r="S39" s="9" t="s">
        <v>526</v>
      </c>
      <c r="U39" s="42" t="str">
        <f t="shared" si="0"/>
        <v>FYY-01.1, L:TL III, E:, S:, TS:</v>
      </c>
      <c r="V39" s="42" t="str">
        <f t="shared" si="1"/>
        <v>Julkri: TEK-15; Katakri: F-05.8, F-06.10</v>
      </c>
      <c r="W39" s="43">
        <f>IFERROR(VLOOKUP(A39,Esiehdot!A$11:D$15,4,0), 0)</f>
        <v>1</v>
      </c>
      <c r="X39" s="44">
        <f>IF(Esiehdot!D$4&gt;=IFERROR(VLOOKUP(E39,Valintalistat!D$2:H$7,5,0), 99),1,0)</f>
        <v>0</v>
      </c>
      <c r="Y39" s="44">
        <f>IF(Esiehdot!D$5&gt;=IFERROR(VLOOKUP(F39,Valintalistat!E$2:H$5,4,0), 99),1,0)</f>
        <v>0</v>
      </c>
      <c r="Z39" s="44">
        <f>IF(Esiehdot!D$6&gt;=IFERROR(VLOOKUP(G39,Valintalistat!F$2:H$5,3,0),99),1,0)</f>
        <v>0</v>
      </c>
      <c r="AA39" s="44">
        <f>IF(Esiehdot!D$8&gt;=IFERROR(VLOOKUP(H39,Valintalistat!G$2:H$5,2,0),99),1,0)</f>
        <v>0</v>
      </c>
      <c r="AB39" s="43">
        <f t="shared" si="2"/>
        <v>0</v>
      </c>
      <c r="AC39" s="44">
        <f>IF(Esiehdot!E$4=IFERROR(VLOOKUP(E39,Valintalistat!D$2:H$7,5,0),99),1,0)</f>
        <v>0</v>
      </c>
      <c r="AD39" s="44">
        <f>IF(Esiehdot!E$5=IFERROR(VLOOKUP(F39,Valintalistat!E$2:H$5,4,0),99),1,0)</f>
        <v>0</v>
      </c>
      <c r="AE39" s="44">
        <f>IF(Esiehdot!E$6=IFERROR(VLOOKUP(G39,Valintalistat!F$2:H$5,3,0),99),1,0)</f>
        <v>0</v>
      </c>
      <c r="AF39" s="44">
        <f>IF(Esiehdot!E$8=IFERROR(VLOOKUP(H39,Valintalistat!G$2:H$3,2,0),98),1,0)</f>
        <v>0</v>
      </c>
      <c r="AG39" s="43">
        <f t="shared" si="3"/>
        <v>0</v>
      </c>
      <c r="AH39" s="43">
        <f>IFERROR(HLOOKUP(Esiehdot!$B$17,Käyttötapauskriteerit!G$1:P39,39,0),1)</f>
        <v>1</v>
      </c>
      <c r="AI39" s="43">
        <f t="shared" si="4"/>
        <v>0</v>
      </c>
      <c r="AJ39" s="43">
        <f t="shared" si="5"/>
        <v>0</v>
      </c>
      <c r="AK39" s="43">
        <f t="shared" si="6"/>
        <v>0</v>
      </c>
      <c r="AL39" s="43">
        <f t="shared" si="7"/>
        <v>0</v>
      </c>
      <c r="AM39" s="43"/>
      <c r="AN39" s="45" t="str">
        <f t="shared" si="8"/>
        <v>Ei ehdoteta hankintaan</v>
      </c>
    </row>
    <row r="40" spans="1:40 16325:16383" ht="150">
      <c r="A40" s="5" t="s">
        <v>34</v>
      </c>
      <c r="B40" s="5" t="s">
        <v>509</v>
      </c>
      <c r="C40" s="22" t="s">
        <v>527</v>
      </c>
      <c r="E40" s="17" t="s">
        <v>25</v>
      </c>
      <c r="F40" s="17" t="s">
        <v>27</v>
      </c>
      <c r="G40" s="17" t="s">
        <v>27</v>
      </c>
      <c r="H40" s="17" t="s">
        <v>260</v>
      </c>
      <c r="I40" s="17"/>
      <c r="J40" s="17" t="s">
        <v>511</v>
      </c>
      <c r="K40" s="17" t="s">
        <v>512</v>
      </c>
      <c r="L40" s="32" t="s">
        <v>528</v>
      </c>
      <c r="M40" s="61" t="s">
        <v>529</v>
      </c>
      <c r="N40" s="23" t="s">
        <v>530</v>
      </c>
      <c r="O40" s="23" t="s">
        <v>531</v>
      </c>
      <c r="P40" s="9" t="s">
        <v>532</v>
      </c>
      <c r="Q40" s="9" t="s">
        <v>533</v>
      </c>
      <c r="R40" s="9"/>
      <c r="S40" s="9" t="s">
        <v>534</v>
      </c>
      <c r="U40" s="42" t="str">
        <f t="shared" si="0"/>
        <v>FYY-02, L:Julkinen, E:Vähäinen, S:Vähäinen, TS:Henkilötieto</v>
      </c>
      <c r="V40" s="42" t="str">
        <f t="shared" si="1"/>
        <v>Katakri: F-03</v>
      </c>
      <c r="W40" s="43">
        <f>IFERROR(VLOOKUP(A40,Esiehdot!A$11:D$15,4,0), 0)</f>
        <v>1</v>
      </c>
      <c r="X40" s="44">
        <f>IF(Esiehdot!D$4&gt;=IFERROR(VLOOKUP(E40,Valintalistat!D$2:H$7,5,0), 99),1,0)</f>
        <v>1</v>
      </c>
      <c r="Y40" s="44">
        <f>IF(Esiehdot!D$5&gt;=IFERROR(VLOOKUP(F40,Valintalistat!E$2:H$5,4,0), 99),1,0)</f>
        <v>1</v>
      </c>
      <c r="Z40" s="44">
        <f>IF(Esiehdot!D$6&gt;=IFERROR(VLOOKUP(G40,Valintalistat!F$2:H$5,3,0),99),1,0)</f>
        <v>1</v>
      </c>
      <c r="AA40" s="44">
        <f>IF(Esiehdot!D$8&gt;=IFERROR(VLOOKUP(H40,Valintalistat!G$2:H$5,2,0),99),1,0)</f>
        <v>0</v>
      </c>
      <c r="AB40" s="43">
        <f t="shared" si="2"/>
        <v>1</v>
      </c>
      <c r="AC40" s="44">
        <f>IF(Esiehdot!E$4=IFERROR(VLOOKUP(E40,Valintalistat!D$2:H$7,5,0),99),1,0)</f>
        <v>0</v>
      </c>
      <c r="AD40" s="44">
        <f>IF(Esiehdot!E$5=IFERROR(VLOOKUP(F40,Valintalistat!E$2:H$5,4,0),99),1,0)</f>
        <v>0</v>
      </c>
      <c r="AE40" s="44">
        <f>IF(Esiehdot!E$6=IFERROR(VLOOKUP(G40,Valintalistat!F$2:H$5,3,0),99),1,0)</f>
        <v>0</v>
      </c>
      <c r="AF40" s="44">
        <f>IF(Esiehdot!E$8=IFERROR(VLOOKUP(H40,Valintalistat!G$2:H$3,2,0),98),1,0)</f>
        <v>0</v>
      </c>
      <c r="AG40" s="43">
        <f t="shared" si="3"/>
        <v>0</v>
      </c>
      <c r="AH40" s="43">
        <f>IFERROR(HLOOKUP(Esiehdot!$B$17,Käyttötapauskriteerit!G$1:P40,40,0),1)</f>
        <v>1</v>
      </c>
      <c r="AI40" s="43">
        <f t="shared" si="4"/>
        <v>1</v>
      </c>
      <c r="AJ40" s="43">
        <f t="shared" si="5"/>
        <v>0</v>
      </c>
      <c r="AK40" s="43">
        <f t="shared" si="6"/>
        <v>0</v>
      </c>
      <c r="AL40" s="43">
        <f t="shared" si="7"/>
        <v>0</v>
      </c>
      <c r="AM40" s="43"/>
      <c r="AN40" s="45" t="str">
        <f t="shared" si="8"/>
        <v>Olennainen</v>
      </c>
    </row>
    <row r="41" spans="1:40 16325:16383" ht="37.5">
      <c r="A41" s="5" t="s">
        <v>34</v>
      </c>
      <c r="B41" s="5" t="s">
        <v>509</v>
      </c>
      <c r="C41" s="22" t="s">
        <v>535</v>
      </c>
      <c r="E41" s="17" t="s">
        <v>276</v>
      </c>
      <c r="F41" s="17"/>
      <c r="G41" s="17"/>
      <c r="H41" s="17" t="s">
        <v>278</v>
      </c>
      <c r="I41" s="17"/>
      <c r="J41" s="17" t="s">
        <v>511</v>
      </c>
      <c r="K41" s="17" t="s">
        <v>512</v>
      </c>
      <c r="L41" s="32" t="s">
        <v>536</v>
      </c>
      <c r="M41" s="61" t="s">
        <v>537</v>
      </c>
      <c r="N41" s="23" t="s">
        <v>538</v>
      </c>
      <c r="O41" s="23"/>
      <c r="P41" s="9" t="s">
        <v>539</v>
      </c>
      <c r="Q41" s="9" t="s">
        <v>540</v>
      </c>
      <c r="R41" s="9" t="s">
        <v>500</v>
      </c>
      <c r="S41" s="9" t="s">
        <v>541</v>
      </c>
      <c r="U41" s="42" t="str">
        <f t="shared" si="0"/>
        <v>FYY-03, L:Salassa pidettävä, E:, S:, TS:Erityinen henkilötietoryhmä</v>
      </c>
      <c r="V41" s="42" t="str">
        <f t="shared" si="1"/>
        <v>Julkri: HAL-19; Katakri: F-04</v>
      </c>
      <c r="W41" s="43">
        <f>IFERROR(VLOOKUP(A41,Esiehdot!A$11:D$15,4,0), 0)</f>
        <v>1</v>
      </c>
      <c r="X41" s="44">
        <f>IF(Esiehdot!D$4&gt;=IFERROR(VLOOKUP(E41,Valintalistat!D$2:H$7,5,0), 99),1,0)</f>
        <v>0</v>
      </c>
      <c r="Y41" s="44">
        <f>IF(Esiehdot!D$5&gt;=IFERROR(VLOOKUP(F41,Valintalistat!E$2:H$5,4,0), 99),1,0)</f>
        <v>0</v>
      </c>
      <c r="Z41" s="44">
        <f>IF(Esiehdot!D$6&gt;=IFERROR(VLOOKUP(G41,Valintalistat!F$2:H$5,3,0),99),1,0)</f>
        <v>0</v>
      </c>
      <c r="AA41" s="44">
        <f>IF(Esiehdot!D$8&gt;=IFERROR(VLOOKUP(H41,Valintalistat!G$2:H$5,2,0),99),1,0)</f>
        <v>0</v>
      </c>
      <c r="AB41" s="43">
        <f t="shared" si="2"/>
        <v>0</v>
      </c>
      <c r="AC41" s="44">
        <f>IF(Esiehdot!E$4=IFERROR(VLOOKUP(E41,Valintalistat!D$2:H$7,5,0),99),1,0)</f>
        <v>1</v>
      </c>
      <c r="AD41" s="44">
        <f>IF(Esiehdot!E$5=IFERROR(VLOOKUP(F41,Valintalistat!E$2:H$5,4,0),99),1,0)</f>
        <v>0</v>
      </c>
      <c r="AE41" s="44">
        <f>IF(Esiehdot!E$6=IFERROR(VLOOKUP(G41,Valintalistat!F$2:H$5,3,0),99),1,0)</f>
        <v>0</v>
      </c>
      <c r="AF41" s="44">
        <f>IF(Esiehdot!E$8=IFERROR(VLOOKUP(H41,Valintalistat!G$2:H$3,2,0),98),1,0)</f>
        <v>0</v>
      </c>
      <c r="AG41" s="43">
        <f t="shared" si="3"/>
        <v>1</v>
      </c>
      <c r="AH41" s="43">
        <f>IFERROR(HLOOKUP(Esiehdot!$B$17,Käyttötapauskriteerit!G$1:P41,41,0),1)</f>
        <v>1</v>
      </c>
      <c r="AI41" s="43">
        <f t="shared" si="4"/>
        <v>0</v>
      </c>
      <c r="AJ41" s="43">
        <f t="shared" si="5"/>
        <v>0</v>
      </c>
      <c r="AK41" s="43">
        <f t="shared" si="6"/>
        <v>1</v>
      </c>
      <c r="AL41" s="43">
        <f t="shared" si="7"/>
        <v>0</v>
      </c>
      <c r="AM41" s="43"/>
      <c r="AN41" s="45" t="str">
        <f t="shared" si="8"/>
        <v>Valinnainen</v>
      </c>
    </row>
    <row r="42" spans="1:40 16325:16383" ht="37.5">
      <c r="A42" s="5" t="s">
        <v>34</v>
      </c>
      <c r="B42" s="5" t="s">
        <v>509</v>
      </c>
      <c r="C42" s="22" t="s">
        <v>542</v>
      </c>
      <c r="D42" s="22" t="s">
        <v>535</v>
      </c>
      <c r="E42" s="17" t="s">
        <v>543</v>
      </c>
      <c r="F42" s="17"/>
      <c r="G42" s="17"/>
      <c r="H42" s="17"/>
      <c r="I42" s="17"/>
      <c r="J42" s="17" t="s">
        <v>511</v>
      </c>
      <c r="K42" s="17" t="s">
        <v>512</v>
      </c>
      <c r="L42" s="32" t="s">
        <v>544</v>
      </c>
      <c r="M42" s="61" t="s">
        <v>545</v>
      </c>
      <c r="N42" s="23"/>
      <c r="O42" s="23"/>
      <c r="P42" s="9" t="s">
        <v>546</v>
      </c>
      <c r="Q42" s="9" t="s">
        <v>540</v>
      </c>
      <c r="R42" s="9" t="s">
        <v>500</v>
      </c>
      <c r="S42" s="9" t="s">
        <v>541</v>
      </c>
      <c r="U42" s="42" t="str">
        <f t="shared" si="0"/>
        <v>FYY-03.1, L:TL I, E:, S:, TS:</v>
      </c>
      <c r="V42" s="42" t="str">
        <f t="shared" si="1"/>
        <v>Julkri: HAL-19; Katakri: F-04</v>
      </c>
      <c r="W42" s="43">
        <f>IFERROR(VLOOKUP(A42,Esiehdot!A$11:D$15,4,0), 0)</f>
        <v>1</v>
      </c>
      <c r="X42" s="44">
        <f>IF(Esiehdot!D$4&gt;=IFERROR(VLOOKUP(E42,Valintalistat!D$2:H$7,5,0), 99),1,0)</f>
        <v>0</v>
      </c>
      <c r="Y42" s="44">
        <f>IF(Esiehdot!D$5&gt;=IFERROR(VLOOKUP(F42,Valintalistat!E$2:H$5,4,0), 99),1,0)</f>
        <v>0</v>
      </c>
      <c r="Z42" s="44">
        <f>IF(Esiehdot!D$6&gt;=IFERROR(VLOOKUP(G42,Valintalistat!F$2:H$5,3,0),99),1,0)</f>
        <v>0</v>
      </c>
      <c r="AA42" s="44">
        <f>IF(Esiehdot!D$8&gt;=IFERROR(VLOOKUP(H42,Valintalistat!G$2:H$5,2,0),99),1,0)</f>
        <v>0</v>
      </c>
      <c r="AB42" s="43">
        <f t="shared" si="2"/>
        <v>0</v>
      </c>
      <c r="AC42" s="44">
        <f>IF(Esiehdot!E$4=IFERROR(VLOOKUP(E42,Valintalistat!D$2:H$7,5,0),99),1,0)</f>
        <v>0</v>
      </c>
      <c r="AD42" s="44">
        <f>IF(Esiehdot!E$5=IFERROR(VLOOKUP(F42,Valintalistat!E$2:H$5,4,0),99),1,0)</f>
        <v>0</v>
      </c>
      <c r="AE42" s="44">
        <f>IF(Esiehdot!E$6=IFERROR(VLOOKUP(G42,Valintalistat!F$2:H$5,3,0),99),1,0)</f>
        <v>0</v>
      </c>
      <c r="AF42" s="44">
        <f>IF(Esiehdot!E$8=IFERROR(VLOOKUP(H42,Valintalistat!G$2:H$3,2,0),98),1,0)</f>
        <v>0</v>
      </c>
      <c r="AG42" s="43">
        <f t="shared" si="3"/>
        <v>0</v>
      </c>
      <c r="AH42" s="43">
        <f>IFERROR(HLOOKUP(Esiehdot!$B$17,Käyttötapauskriteerit!G$1:P42,42,0),1)</f>
        <v>1</v>
      </c>
      <c r="AI42" s="43">
        <f t="shared" si="4"/>
        <v>0</v>
      </c>
      <c r="AJ42" s="43">
        <f t="shared" si="5"/>
        <v>0</v>
      </c>
      <c r="AK42" s="43">
        <f t="shared" si="6"/>
        <v>0</v>
      </c>
      <c r="AL42" s="43">
        <f t="shared" si="7"/>
        <v>0</v>
      </c>
      <c r="AM42" s="43"/>
      <c r="AN42" s="45" t="str">
        <f t="shared" si="8"/>
        <v>Ei ehdoteta hankintaan</v>
      </c>
    </row>
    <row r="43" spans="1:40 16325:16383" ht="24.95">
      <c r="A43" s="5" t="s">
        <v>34</v>
      </c>
      <c r="B43" s="5" t="s">
        <v>509</v>
      </c>
      <c r="C43" s="22" t="s">
        <v>547</v>
      </c>
      <c r="E43" s="17" t="s">
        <v>276</v>
      </c>
      <c r="F43" s="17"/>
      <c r="G43" s="17"/>
      <c r="H43" s="17" t="s">
        <v>278</v>
      </c>
      <c r="I43" s="17"/>
      <c r="J43" s="17" t="s">
        <v>511</v>
      </c>
      <c r="K43" s="17" t="s">
        <v>512</v>
      </c>
      <c r="L43" s="32" t="s">
        <v>548</v>
      </c>
      <c r="M43" s="61" t="s">
        <v>549</v>
      </c>
      <c r="N43" s="23" t="s">
        <v>550</v>
      </c>
      <c r="O43" s="23"/>
      <c r="P43" s="9" t="s">
        <v>551</v>
      </c>
      <c r="Q43" s="9" t="s">
        <v>552</v>
      </c>
      <c r="R43" s="9" t="s">
        <v>500</v>
      </c>
      <c r="S43" s="9" t="s">
        <v>541</v>
      </c>
      <c r="U43" s="42" t="str">
        <f t="shared" si="0"/>
        <v>FYY-04, L:Salassa pidettävä, E:, S:, TS:Erityinen henkilötietoryhmä</v>
      </c>
      <c r="V43" s="42" t="str">
        <f t="shared" si="1"/>
        <v>Julkri: HAL-19; Katakri: F-04</v>
      </c>
      <c r="W43" s="43">
        <f>IFERROR(VLOOKUP(A43,Esiehdot!A$11:D$15,4,0), 0)</f>
        <v>1</v>
      </c>
      <c r="X43" s="44">
        <f>IF(Esiehdot!D$4&gt;=IFERROR(VLOOKUP(E43,Valintalistat!D$2:H$7,5,0), 99),1,0)</f>
        <v>0</v>
      </c>
      <c r="Y43" s="44">
        <f>IF(Esiehdot!D$5&gt;=IFERROR(VLOOKUP(F43,Valintalistat!E$2:H$5,4,0), 99),1,0)</f>
        <v>0</v>
      </c>
      <c r="Z43" s="44">
        <f>IF(Esiehdot!D$6&gt;=IFERROR(VLOOKUP(G43,Valintalistat!F$2:H$5,3,0),99),1,0)</f>
        <v>0</v>
      </c>
      <c r="AA43" s="44">
        <f>IF(Esiehdot!D$8&gt;=IFERROR(VLOOKUP(H43,Valintalistat!G$2:H$5,2,0),99),1,0)</f>
        <v>0</v>
      </c>
      <c r="AB43" s="43">
        <f t="shared" si="2"/>
        <v>0</v>
      </c>
      <c r="AC43" s="44">
        <f>IF(Esiehdot!E$4=IFERROR(VLOOKUP(E43,Valintalistat!D$2:H$7,5,0),99),1,0)</f>
        <v>1</v>
      </c>
      <c r="AD43" s="44">
        <f>IF(Esiehdot!E$5=IFERROR(VLOOKUP(F43,Valintalistat!E$2:H$5,4,0),99),1,0)</f>
        <v>0</v>
      </c>
      <c r="AE43" s="44">
        <f>IF(Esiehdot!E$6=IFERROR(VLOOKUP(G43,Valintalistat!F$2:H$5,3,0),99),1,0)</f>
        <v>0</v>
      </c>
      <c r="AF43" s="44">
        <f>IF(Esiehdot!E$8=IFERROR(VLOOKUP(H43,Valintalistat!G$2:H$3,2,0),98),1,0)</f>
        <v>0</v>
      </c>
      <c r="AG43" s="43">
        <f t="shared" si="3"/>
        <v>1</v>
      </c>
      <c r="AH43" s="43">
        <f>IFERROR(HLOOKUP(Esiehdot!$B$17,Käyttötapauskriteerit!G$1:P43,43,0),1)</f>
        <v>1</v>
      </c>
      <c r="AI43" s="43">
        <f t="shared" si="4"/>
        <v>0</v>
      </c>
      <c r="AJ43" s="43">
        <f t="shared" si="5"/>
        <v>0</v>
      </c>
      <c r="AK43" s="43">
        <f t="shared" si="6"/>
        <v>1</v>
      </c>
      <c r="AL43" s="43">
        <f t="shared" si="7"/>
        <v>0</v>
      </c>
      <c r="AM43" s="43"/>
      <c r="AN43" s="45" t="str">
        <f t="shared" si="8"/>
        <v>Valinnainen</v>
      </c>
    </row>
    <row r="44" spans="1:40 16325:16383" ht="225">
      <c r="A44" s="5" t="s">
        <v>34</v>
      </c>
      <c r="B44" s="5" t="s">
        <v>509</v>
      </c>
      <c r="C44" s="22" t="s">
        <v>553</v>
      </c>
      <c r="D44" s="22" t="s">
        <v>547</v>
      </c>
      <c r="E44" s="17" t="s">
        <v>554</v>
      </c>
      <c r="F44" s="17"/>
      <c r="G44" s="17"/>
      <c r="H44" s="17"/>
      <c r="I44" s="17"/>
      <c r="J44" s="17" t="s">
        <v>511</v>
      </c>
      <c r="K44" s="17" t="s">
        <v>512</v>
      </c>
      <c r="L44" s="32" t="s">
        <v>555</v>
      </c>
      <c r="M44" s="61" t="s">
        <v>556</v>
      </c>
      <c r="N44" s="23"/>
      <c r="O44" s="23" t="s">
        <v>557</v>
      </c>
      <c r="P44" s="9" t="s">
        <v>558</v>
      </c>
      <c r="Q44" s="9"/>
      <c r="R44" s="9"/>
      <c r="S44" s="9" t="s">
        <v>541</v>
      </c>
      <c r="U44" s="42" t="str">
        <f t="shared" si="0"/>
        <v>FYY-04.1, L:TL IV, E:, S:, TS:</v>
      </c>
      <c r="V44" s="42" t="str">
        <f t="shared" si="1"/>
        <v>Katakri: F-04</v>
      </c>
      <c r="W44" s="43">
        <f>IFERROR(VLOOKUP(A44,Esiehdot!A$11:D$15,4,0), 0)</f>
        <v>1</v>
      </c>
      <c r="X44" s="44">
        <f>IF(Esiehdot!D$4&gt;=IFERROR(VLOOKUP(E44,Valintalistat!D$2:H$7,5,0), 99),1,0)</f>
        <v>0</v>
      </c>
      <c r="Y44" s="44">
        <f>IF(Esiehdot!D$5&gt;=IFERROR(VLOOKUP(F44,Valintalistat!E$2:H$5,4,0), 99),1,0)</f>
        <v>0</v>
      </c>
      <c r="Z44" s="44">
        <f>IF(Esiehdot!D$6&gt;=IFERROR(VLOOKUP(G44,Valintalistat!F$2:H$5,3,0),99),1,0)</f>
        <v>0</v>
      </c>
      <c r="AA44" s="44">
        <f>IF(Esiehdot!D$8&gt;=IFERROR(VLOOKUP(H44,Valintalistat!G$2:H$5,2,0),99),1,0)</f>
        <v>0</v>
      </c>
      <c r="AB44" s="43">
        <f t="shared" si="2"/>
        <v>0</v>
      </c>
      <c r="AC44" s="44">
        <f>IF(Esiehdot!E$4=IFERROR(VLOOKUP(E44,Valintalistat!D$2:H$7,5,0),99),1,0)</f>
        <v>0</v>
      </c>
      <c r="AD44" s="44">
        <f>IF(Esiehdot!E$5=IFERROR(VLOOKUP(F44,Valintalistat!E$2:H$5,4,0),99),1,0)</f>
        <v>0</v>
      </c>
      <c r="AE44" s="44">
        <f>IF(Esiehdot!E$6=IFERROR(VLOOKUP(G44,Valintalistat!F$2:H$5,3,0),99),1,0)</f>
        <v>0</v>
      </c>
      <c r="AF44" s="44">
        <f>IF(Esiehdot!E$8=IFERROR(VLOOKUP(H44,Valintalistat!G$2:H$3,2,0),98),1,0)</f>
        <v>0</v>
      </c>
      <c r="AG44" s="43">
        <f t="shared" si="3"/>
        <v>0</v>
      </c>
      <c r="AH44" s="43">
        <f>IFERROR(HLOOKUP(Esiehdot!$B$17,Käyttötapauskriteerit!G$1:P44,44,0),1)</f>
        <v>1</v>
      </c>
      <c r="AI44" s="43">
        <f t="shared" si="4"/>
        <v>0</v>
      </c>
      <c r="AJ44" s="43">
        <f t="shared" si="5"/>
        <v>0</v>
      </c>
      <c r="AK44" s="43">
        <f t="shared" si="6"/>
        <v>0</v>
      </c>
      <c r="AL44" s="43">
        <f t="shared" si="7"/>
        <v>0</v>
      </c>
      <c r="AM44" s="43"/>
      <c r="AN44" s="45" t="str">
        <f t="shared" si="8"/>
        <v>Ei ehdoteta hankintaan</v>
      </c>
    </row>
    <row r="45" spans="1:40 16325:16383" ht="62.45">
      <c r="A45" s="5" t="s">
        <v>34</v>
      </c>
      <c r="B45" s="5" t="s">
        <v>509</v>
      </c>
      <c r="C45" s="22" t="s">
        <v>559</v>
      </c>
      <c r="D45" s="22" t="s">
        <v>547</v>
      </c>
      <c r="E45" s="17" t="s">
        <v>554</v>
      </c>
      <c r="F45" s="17"/>
      <c r="G45" s="17"/>
      <c r="H45" s="17"/>
      <c r="I45" s="17"/>
      <c r="J45" s="17" t="s">
        <v>511</v>
      </c>
      <c r="K45" s="17" t="s">
        <v>512</v>
      </c>
      <c r="L45" s="32" t="s">
        <v>560</v>
      </c>
      <c r="M45" s="61" t="s">
        <v>561</v>
      </c>
      <c r="N45" s="23"/>
      <c r="O45" s="23"/>
      <c r="P45" s="9" t="s">
        <v>562</v>
      </c>
      <c r="Q45" s="9" t="s">
        <v>552</v>
      </c>
      <c r="R45" s="9" t="s">
        <v>500</v>
      </c>
      <c r="S45" s="9" t="s">
        <v>541</v>
      </c>
      <c r="U45" s="42" t="str">
        <f t="shared" si="0"/>
        <v>FYY-04.2, L:TL IV, E:, S:, TS:</v>
      </c>
      <c r="V45" s="42" t="str">
        <f t="shared" si="1"/>
        <v>Julkri: HAL-19; Katakri: F-04</v>
      </c>
      <c r="W45" s="43">
        <f>IFERROR(VLOOKUP(A45,Esiehdot!A$11:D$15,4,0), 0)</f>
        <v>1</v>
      </c>
      <c r="X45" s="44">
        <f>IF(Esiehdot!D$4&gt;=IFERROR(VLOOKUP(E45,Valintalistat!D$2:H$7,5,0), 99),1,0)</f>
        <v>0</v>
      </c>
      <c r="Y45" s="44">
        <f>IF(Esiehdot!D$5&gt;=IFERROR(VLOOKUP(F45,Valintalistat!E$2:H$5,4,0), 99),1,0)</f>
        <v>0</v>
      </c>
      <c r="Z45" s="44">
        <f>IF(Esiehdot!D$6&gt;=IFERROR(VLOOKUP(G45,Valintalistat!F$2:H$5,3,0),99),1,0)</f>
        <v>0</v>
      </c>
      <c r="AA45" s="44">
        <f>IF(Esiehdot!D$8&gt;=IFERROR(VLOOKUP(H45,Valintalistat!G$2:H$5,2,0),99),1,0)</f>
        <v>0</v>
      </c>
      <c r="AB45" s="43">
        <f t="shared" si="2"/>
        <v>0</v>
      </c>
      <c r="AC45" s="44">
        <f>IF(Esiehdot!E$4=IFERROR(VLOOKUP(E45,Valintalistat!D$2:H$7,5,0),99),1,0)</f>
        <v>0</v>
      </c>
      <c r="AD45" s="44">
        <f>IF(Esiehdot!E$5=IFERROR(VLOOKUP(F45,Valintalistat!E$2:H$5,4,0),99),1,0)</f>
        <v>0</v>
      </c>
      <c r="AE45" s="44">
        <f>IF(Esiehdot!E$6=IFERROR(VLOOKUP(G45,Valintalistat!F$2:H$5,3,0),99),1,0)</f>
        <v>0</v>
      </c>
      <c r="AF45" s="44">
        <f>IF(Esiehdot!E$8=IFERROR(VLOOKUP(H45,Valintalistat!G$2:H$3,2,0),98),1,0)</f>
        <v>0</v>
      </c>
      <c r="AG45" s="43">
        <f t="shared" si="3"/>
        <v>0</v>
      </c>
      <c r="AH45" s="43">
        <f>IFERROR(HLOOKUP(Esiehdot!$B$17,Käyttötapauskriteerit!G$1:P45,45,0),1)</f>
        <v>1</v>
      </c>
      <c r="AI45" s="43">
        <f t="shared" si="4"/>
        <v>0</v>
      </c>
      <c r="AJ45" s="43">
        <f t="shared" si="5"/>
        <v>0</v>
      </c>
      <c r="AK45" s="43">
        <f t="shared" si="6"/>
        <v>0</v>
      </c>
      <c r="AL45" s="43">
        <f t="shared" si="7"/>
        <v>0</v>
      </c>
      <c r="AM45" s="43"/>
      <c r="AN45" s="45" t="str">
        <f t="shared" si="8"/>
        <v>Ei ehdoteta hankintaan</v>
      </c>
    </row>
    <row r="46" spans="1:40 16325:16383" ht="50.1">
      <c r="A46" s="5" t="s">
        <v>34</v>
      </c>
      <c r="B46" s="5" t="s">
        <v>509</v>
      </c>
      <c r="C46" s="22" t="s">
        <v>563</v>
      </c>
      <c r="D46" s="22" t="s">
        <v>547</v>
      </c>
      <c r="E46" s="17" t="s">
        <v>446</v>
      </c>
      <c r="F46" s="17"/>
      <c r="G46" s="17"/>
      <c r="H46" s="17"/>
      <c r="I46" s="17"/>
      <c r="J46" s="17" t="s">
        <v>511</v>
      </c>
      <c r="K46" s="17" t="s">
        <v>512</v>
      </c>
      <c r="L46" s="32" t="s">
        <v>564</v>
      </c>
      <c r="M46" s="61" t="s">
        <v>565</v>
      </c>
      <c r="N46" s="23"/>
      <c r="O46" s="23"/>
      <c r="P46" s="9" t="s">
        <v>566</v>
      </c>
      <c r="Q46" s="9" t="s">
        <v>552</v>
      </c>
      <c r="R46" s="9" t="s">
        <v>500</v>
      </c>
      <c r="S46" s="9" t="s">
        <v>541</v>
      </c>
      <c r="U46" s="42" t="str">
        <f t="shared" si="0"/>
        <v>FYY-04.3, L:TL III, E:, S:, TS:</v>
      </c>
      <c r="V46" s="42" t="str">
        <f t="shared" si="1"/>
        <v>Julkri: HAL-19; Katakri: F-04</v>
      </c>
      <c r="W46" s="43">
        <f>IFERROR(VLOOKUP(A46,Esiehdot!A$11:D$15,4,0), 0)</f>
        <v>1</v>
      </c>
      <c r="X46" s="44">
        <f>IF(Esiehdot!D$4&gt;=IFERROR(VLOOKUP(E46,Valintalistat!D$2:H$7,5,0), 99),1,0)</f>
        <v>0</v>
      </c>
      <c r="Y46" s="44">
        <f>IF(Esiehdot!D$5&gt;=IFERROR(VLOOKUP(F46,Valintalistat!E$2:H$5,4,0), 99),1,0)</f>
        <v>0</v>
      </c>
      <c r="Z46" s="44">
        <f>IF(Esiehdot!D$6&gt;=IFERROR(VLOOKUP(G46,Valintalistat!F$2:H$5,3,0),99),1,0)</f>
        <v>0</v>
      </c>
      <c r="AA46" s="44">
        <f>IF(Esiehdot!D$8&gt;=IFERROR(VLOOKUP(H46,Valintalistat!G$2:H$5,2,0),99),1,0)</f>
        <v>0</v>
      </c>
      <c r="AB46" s="43">
        <f t="shared" si="2"/>
        <v>0</v>
      </c>
      <c r="AC46" s="44">
        <f>IF(Esiehdot!E$4=IFERROR(VLOOKUP(E46,Valintalistat!D$2:H$7,5,0),99),1,0)</f>
        <v>0</v>
      </c>
      <c r="AD46" s="44">
        <f>IF(Esiehdot!E$5=IFERROR(VLOOKUP(F46,Valintalistat!E$2:H$5,4,0),99),1,0)</f>
        <v>0</v>
      </c>
      <c r="AE46" s="44">
        <f>IF(Esiehdot!E$6=IFERROR(VLOOKUP(G46,Valintalistat!F$2:H$5,3,0),99),1,0)</f>
        <v>0</v>
      </c>
      <c r="AF46" s="44">
        <f>IF(Esiehdot!E$8=IFERROR(VLOOKUP(H46,Valintalistat!G$2:H$3,2,0),98),1,0)</f>
        <v>0</v>
      </c>
      <c r="AG46" s="43">
        <f t="shared" si="3"/>
        <v>0</v>
      </c>
      <c r="AH46" s="43">
        <f>IFERROR(HLOOKUP(Esiehdot!$B$17,Käyttötapauskriteerit!G$1:P46,46,0),1)</f>
        <v>1</v>
      </c>
      <c r="AI46" s="43">
        <f t="shared" si="4"/>
        <v>0</v>
      </c>
      <c r="AJ46" s="43">
        <f t="shared" si="5"/>
        <v>0</v>
      </c>
      <c r="AK46" s="43">
        <f t="shared" si="6"/>
        <v>0</v>
      </c>
      <c r="AL46" s="43">
        <f t="shared" si="7"/>
        <v>0</v>
      </c>
      <c r="AM46" s="43"/>
      <c r="AN46" s="45" t="str">
        <f t="shared" si="8"/>
        <v>Ei ehdoteta hankintaan</v>
      </c>
    </row>
    <row r="47" spans="1:40 16325:16383" ht="150">
      <c r="A47" s="5" t="s">
        <v>34</v>
      </c>
      <c r="B47" s="5" t="s">
        <v>509</v>
      </c>
      <c r="C47" s="22" t="s">
        <v>567</v>
      </c>
      <c r="D47" s="22" t="s">
        <v>547</v>
      </c>
      <c r="E47" s="17" t="s">
        <v>446</v>
      </c>
      <c r="F47" s="17"/>
      <c r="G47" s="17"/>
      <c r="H47" s="17"/>
      <c r="I47" s="17"/>
      <c r="J47" s="17" t="s">
        <v>511</v>
      </c>
      <c r="K47" s="17" t="s">
        <v>512</v>
      </c>
      <c r="L47" s="32" t="s">
        <v>568</v>
      </c>
      <c r="M47" s="61" t="s">
        <v>569</v>
      </c>
      <c r="N47" s="23"/>
      <c r="O47" s="23"/>
      <c r="P47" s="9" t="s">
        <v>558</v>
      </c>
      <c r="Q47" s="9"/>
      <c r="R47" s="9"/>
      <c r="S47" s="9" t="s">
        <v>541</v>
      </c>
      <c r="U47" s="42" t="str">
        <f t="shared" si="0"/>
        <v>FYY-04.4, L:TL III, E:, S:, TS:</v>
      </c>
      <c r="V47" s="42" t="str">
        <f t="shared" si="1"/>
        <v>Katakri: F-04</v>
      </c>
      <c r="W47" s="43">
        <f>IFERROR(VLOOKUP(A47,Esiehdot!A$11:D$15,4,0), 0)</f>
        <v>1</v>
      </c>
      <c r="X47" s="44">
        <f>IF(Esiehdot!D$4&gt;=IFERROR(VLOOKUP(E47,Valintalistat!D$2:H$7,5,0), 99),1,0)</f>
        <v>0</v>
      </c>
      <c r="Y47" s="44">
        <f>IF(Esiehdot!D$5&gt;=IFERROR(VLOOKUP(F47,Valintalistat!E$2:H$5,4,0), 99),1,0)</f>
        <v>0</v>
      </c>
      <c r="Z47" s="44">
        <f>IF(Esiehdot!D$6&gt;=IFERROR(VLOOKUP(G47,Valintalistat!F$2:H$5,3,0),99),1,0)</f>
        <v>0</v>
      </c>
      <c r="AA47" s="44">
        <f>IF(Esiehdot!D$8&gt;=IFERROR(VLOOKUP(H47,Valintalistat!G$2:H$5,2,0),99),1,0)</f>
        <v>0</v>
      </c>
      <c r="AB47" s="43">
        <f t="shared" si="2"/>
        <v>0</v>
      </c>
      <c r="AC47" s="44">
        <f>IF(Esiehdot!E$4=IFERROR(VLOOKUP(E47,Valintalistat!D$2:H$7,5,0),99),1,0)</f>
        <v>0</v>
      </c>
      <c r="AD47" s="44">
        <f>IF(Esiehdot!E$5=IFERROR(VLOOKUP(F47,Valintalistat!E$2:H$5,4,0),99),1,0)</f>
        <v>0</v>
      </c>
      <c r="AE47" s="44">
        <f>IF(Esiehdot!E$6=IFERROR(VLOOKUP(G47,Valintalistat!F$2:H$5,3,0),99),1,0)</f>
        <v>0</v>
      </c>
      <c r="AF47" s="44">
        <f>IF(Esiehdot!E$8=IFERROR(VLOOKUP(H47,Valintalistat!G$2:H$3,2,0),98),1,0)</f>
        <v>0</v>
      </c>
      <c r="AG47" s="43">
        <f t="shared" si="3"/>
        <v>0</v>
      </c>
      <c r="AH47" s="43">
        <f>IFERROR(HLOOKUP(Esiehdot!$B$17,Käyttötapauskriteerit!G$1:P47,47,0),1)</f>
        <v>1</v>
      </c>
      <c r="AI47" s="43">
        <f t="shared" si="4"/>
        <v>0</v>
      </c>
      <c r="AJ47" s="43">
        <f t="shared" si="5"/>
        <v>0</v>
      </c>
      <c r="AK47" s="43">
        <f t="shared" si="6"/>
        <v>0</v>
      </c>
      <c r="AL47" s="43">
        <f t="shared" si="7"/>
        <v>0</v>
      </c>
      <c r="AM47" s="43"/>
      <c r="AN47" s="45" t="str">
        <f t="shared" si="8"/>
        <v>Ei ehdoteta hankintaan</v>
      </c>
    </row>
    <row r="48" spans="1:40 16325:16383" ht="99.95">
      <c r="A48" s="5" t="s">
        <v>34</v>
      </c>
      <c r="B48" s="5" t="s">
        <v>509</v>
      </c>
      <c r="C48" s="22" t="s">
        <v>570</v>
      </c>
      <c r="D48" s="22" t="s">
        <v>547</v>
      </c>
      <c r="E48" s="17" t="s">
        <v>571</v>
      </c>
      <c r="F48" s="17"/>
      <c r="G48" s="17"/>
      <c r="H48" s="17"/>
      <c r="I48" s="17"/>
      <c r="J48" s="17" t="s">
        <v>511</v>
      </c>
      <c r="K48" s="17" t="s">
        <v>512</v>
      </c>
      <c r="L48" s="32" t="s">
        <v>572</v>
      </c>
      <c r="M48" s="61" t="s">
        <v>573</v>
      </c>
      <c r="N48" s="23"/>
      <c r="O48" s="23"/>
      <c r="P48" s="9" t="s">
        <v>558</v>
      </c>
      <c r="Q48" s="9"/>
      <c r="R48" s="9"/>
      <c r="S48" s="9" t="s">
        <v>541</v>
      </c>
      <c r="U48" s="42" t="str">
        <f t="shared" si="0"/>
        <v>FYY-04.5, L:TL II, E:, S:, TS:</v>
      </c>
      <c r="V48" s="42" t="str">
        <f t="shared" si="1"/>
        <v>Katakri: F-04</v>
      </c>
      <c r="W48" s="43">
        <f>IFERROR(VLOOKUP(A48,Esiehdot!A$11:D$15,4,0), 0)</f>
        <v>1</v>
      </c>
      <c r="X48" s="44">
        <f>IF(Esiehdot!D$4&gt;=IFERROR(VLOOKUP(E48,Valintalistat!D$2:H$7,5,0), 99),1,0)</f>
        <v>0</v>
      </c>
      <c r="Y48" s="44">
        <f>IF(Esiehdot!D$5&gt;=IFERROR(VLOOKUP(F48,Valintalistat!E$2:H$5,4,0), 99),1,0)</f>
        <v>0</v>
      </c>
      <c r="Z48" s="44">
        <f>IF(Esiehdot!D$6&gt;=IFERROR(VLOOKUP(G48,Valintalistat!F$2:H$5,3,0),99),1,0)</f>
        <v>0</v>
      </c>
      <c r="AA48" s="44">
        <f>IF(Esiehdot!D$8&gt;=IFERROR(VLOOKUP(H48,Valintalistat!G$2:H$5,2,0),99),1,0)</f>
        <v>0</v>
      </c>
      <c r="AB48" s="43">
        <f t="shared" si="2"/>
        <v>0</v>
      </c>
      <c r="AC48" s="44">
        <f>IF(Esiehdot!E$4=IFERROR(VLOOKUP(E48,Valintalistat!D$2:H$7,5,0),99),1,0)</f>
        <v>0</v>
      </c>
      <c r="AD48" s="44">
        <f>IF(Esiehdot!E$5=IFERROR(VLOOKUP(F48,Valintalistat!E$2:H$5,4,0),99),1,0)</f>
        <v>0</v>
      </c>
      <c r="AE48" s="44">
        <f>IF(Esiehdot!E$6=IFERROR(VLOOKUP(G48,Valintalistat!F$2:H$5,3,0),99),1,0)</f>
        <v>0</v>
      </c>
      <c r="AF48" s="44">
        <f>IF(Esiehdot!E$8=IFERROR(VLOOKUP(H48,Valintalistat!G$2:H$3,2,0),98),1,0)</f>
        <v>0</v>
      </c>
      <c r="AG48" s="43">
        <f t="shared" si="3"/>
        <v>0</v>
      </c>
      <c r="AH48" s="43">
        <f>IFERROR(HLOOKUP(Esiehdot!$B$17,Käyttötapauskriteerit!G$1:P48,48,0),1)</f>
        <v>1</v>
      </c>
      <c r="AI48" s="43">
        <f t="shared" si="4"/>
        <v>0</v>
      </c>
      <c r="AJ48" s="43">
        <f t="shared" si="5"/>
        <v>0</v>
      </c>
      <c r="AK48" s="43">
        <f t="shared" si="6"/>
        <v>0</v>
      </c>
      <c r="AL48" s="43">
        <f t="shared" si="7"/>
        <v>0</v>
      </c>
      <c r="AM48" s="43"/>
      <c r="AN48" s="45" t="str">
        <f t="shared" si="8"/>
        <v>Ei ehdoteta hankintaan</v>
      </c>
    </row>
    <row r="49" spans="1:40 16365:16383" ht="37.5">
      <c r="A49" s="5" t="s">
        <v>34</v>
      </c>
      <c r="B49" s="5" t="s">
        <v>509</v>
      </c>
      <c r="C49" s="22" t="s">
        <v>574</v>
      </c>
      <c r="D49" s="22" t="s">
        <v>547</v>
      </c>
      <c r="E49" s="17" t="s">
        <v>543</v>
      </c>
      <c r="F49" s="17"/>
      <c r="G49" s="17"/>
      <c r="H49" s="17"/>
      <c r="I49" s="17"/>
      <c r="J49" s="17" t="s">
        <v>511</v>
      </c>
      <c r="K49" s="17" t="s">
        <v>512</v>
      </c>
      <c r="L49" s="32" t="s">
        <v>575</v>
      </c>
      <c r="M49" s="61" t="s">
        <v>576</v>
      </c>
      <c r="N49" s="23"/>
      <c r="O49" s="23"/>
      <c r="P49" s="9" t="s">
        <v>577</v>
      </c>
      <c r="Q49" s="9" t="s">
        <v>540</v>
      </c>
      <c r="R49" s="9" t="s">
        <v>500</v>
      </c>
      <c r="S49" s="9" t="s">
        <v>541</v>
      </c>
      <c r="U49" s="42" t="str">
        <f t="shared" si="0"/>
        <v>FYY-04.6, L:TL I, E:, S:, TS:</v>
      </c>
      <c r="V49" s="42" t="str">
        <f t="shared" si="1"/>
        <v>Julkri: HAL-19; Katakri: F-04</v>
      </c>
      <c r="W49" s="43">
        <f>IFERROR(VLOOKUP(A49,Esiehdot!A$11:D$15,4,0), 0)</f>
        <v>1</v>
      </c>
      <c r="X49" s="44">
        <f>IF(Esiehdot!D$4&gt;=IFERROR(VLOOKUP(E49,Valintalistat!D$2:H$7,5,0), 99),1,0)</f>
        <v>0</v>
      </c>
      <c r="Y49" s="44">
        <f>IF(Esiehdot!D$5&gt;=IFERROR(VLOOKUP(F49,Valintalistat!E$2:H$5,4,0), 99),1,0)</f>
        <v>0</v>
      </c>
      <c r="Z49" s="44">
        <f>IF(Esiehdot!D$6&gt;=IFERROR(VLOOKUP(G49,Valintalistat!F$2:H$5,3,0),99),1,0)</f>
        <v>0</v>
      </c>
      <c r="AA49" s="44">
        <f>IF(Esiehdot!D$8&gt;=IFERROR(VLOOKUP(H49,Valintalistat!G$2:H$5,2,0),99),1,0)</f>
        <v>0</v>
      </c>
      <c r="AB49" s="43">
        <f t="shared" si="2"/>
        <v>0</v>
      </c>
      <c r="AC49" s="44">
        <f>IF(Esiehdot!E$4=IFERROR(VLOOKUP(E49,Valintalistat!D$2:H$7,5,0),99),1,0)</f>
        <v>0</v>
      </c>
      <c r="AD49" s="44">
        <f>IF(Esiehdot!E$5=IFERROR(VLOOKUP(F49,Valintalistat!E$2:H$5,4,0),99),1,0)</f>
        <v>0</v>
      </c>
      <c r="AE49" s="44">
        <f>IF(Esiehdot!E$6=IFERROR(VLOOKUP(G49,Valintalistat!F$2:H$5,3,0),99),1,0)</f>
        <v>0</v>
      </c>
      <c r="AF49" s="44">
        <f>IF(Esiehdot!E$8=IFERROR(VLOOKUP(H49,Valintalistat!G$2:H$3,2,0),98),1,0)</f>
        <v>0</v>
      </c>
      <c r="AG49" s="43">
        <f t="shared" si="3"/>
        <v>0</v>
      </c>
      <c r="AH49" s="43">
        <f>IFERROR(HLOOKUP(Esiehdot!$B$17,Käyttötapauskriteerit!G$1:P49,49,0),1)</f>
        <v>1</v>
      </c>
      <c r="AI49" s="43">
        <f t="shared" si="4"/>
        <v>0</v>
      </c>
      <c r="AJ49" s="43">
        <f t="shared" si="5"/>
        <v>0</v>
      </c>
      <c r="AK49" s="43">
        <f t="shared" si="6"/>
        <v>0</v>
      </c>
      <c r="AL49" s="43">
        <f t="shared" si="7"/>
        <v>0</v>
      </c>
      <c r="AM49" s="43"/>
      <c r="AN49" s="45" t="str">
        <f t="shared" si="8"/>
        <v>Ei ehdoteta hankintaan</v>
      </c>
    </row>
    <row r="50" spans="1:40 16365:16383" ht="50.1">
      <c r="A50" s="5" t="s">
        <v>34</v>
      </c>
      <c r="B50" s="5" t="s">
        <v>578</v>
      </c>
      <c r="C50" s="22" t="s">
        <v>579</v>
      </c>
      <c r="E50" s="17" t="s">
        <v>276</v>
      </c>
      <c r="F50" s="17"/>
      <c r="G50" s="17"/>
      <c r="H50" s="17" t="s">
        <v>278</v>
      </c>
      <c r="I50" s="17"/>
      <c r="J50" s="17" t="s">
        <v>511</v>
      </c>
      <c r="K50" s="17" t="s">
        <v>512</v>
      </c>
      <c r="L50" s="32" t="s">
        <v>580</v>
      </c>
      <c r="M50" s="61" t="s">
        <v>581</v>
      </c>
      <c r="N50" s="23" t="s">
        <v>582</v>
      </c>
      <c r="O50" s="23"/>
      <c r="P50" s="9" t="s">
        <v>583</v>
      </c>
      <c r="Q50" s="9" t="s">
        <v>584</v>
      </c>
      <c r="R50" s="9"/>
      <c r="S50" s="9" t="s">
        <v>585</v>
      </c>
      <c r="U50" s="42" t="str">
        <f t="shared" si="0"/>
        <v>FYY-05, L:Salassa pidettävä, E:, S:, TS:Erityinen henkilötietoryhmä</v>
      </c>
      <c r="V50" s="42" t="str">
        <f t="shared" si="1"/>
        <v>Katakri: F-05.4, F-06.6</v>
      </c>
      <c r="W50" s="43">
        <f>IFERROR(VLOOKUP(A50,Esiehdot!A$11:D$15,4,0), 0)</f>
        <v>1</v>
      </c>
      <c r="X50" s="44">
        <f>IF(Esiehdot!D$4&gt;=IFERROR(VLOOKUP(E50,Valintalistat!D$2:H$7,5,0), 99),1,0)</f>
        <v>0</v>
      </c>
      <c r="Y50" s="44">
        <f>IF(Esiehdot!D$5&gt;=IFERROR(VLOOKUP(F50,Valintalistat!E$2:H$5,4,0), 99),1,0)</f>
        <v>0</v>
      </c>
      <c r="Z50" s="44">
        <f>IF(Esiehdot!D$6&gt;=IFERROR(VLOOKUP(G50,Valintalistat!F$2:H$5,3,0),99),1,0)</f>
        <v>0</v>
      </c>
      <c r="AA50" s="44">
        <f>IF(Esiehdot!D$8&gt;=IFERROR(VLOOKUP(H50,Valintalistat!G$2:H$5,2,0),99),1,0)</f>
        <v>0</v>
      </c>
      <c r="AB50" s="43">
        <f t="shared" si="2"/>
        <v>0</v>
      </c>
      <c r="AC50" s="44">
        <f>IF(Esiehdot!E$4=IFERROR(VLOOKUP(E50,Valintalistat!D$2:H$7,5,0),99),1,0)</f>
        <v>1</v>
      </c>
      <c r="AD50" s="44">
        <f>IF(Esiehdot!E$5=IFERROR(VLOOKUP(F50,Valintalistat!E$2:H$5,4,0),99),1,0)</f>
        <v>0</v>
      </c>
      <c r="AE50" s="44">
        <f>IF(Esiehdot!E$6=IFERROR(VLOOKUP(G50,Valintalistat!F$2:H$5,3,0),99),1,0)</f>
        <v>0</v>
      </c>
      <c r="AF50" s="44">
        <f>IF(Esiehdot!E$8=IFERROR(VLOOKUP(H50,Valintalistat!G$2:H$3,2,0),98),1,0)</f>
        <v>0</v>
      </c>
      <c r="AG50" s="43">
        <f t="shared" si="3"/>
        <v>1</v>
      </c>
      <c r="AH50" s="43">
        <f>IFERROR(HLOOKUP(Esiehdot!$B$17,Käyttötapauskriteerit!G$1:P50,50,0),1)</f>
        <v>1</v>
      </c>
      <c r="AI50" s="43">
        <f t="shared" si="4"/>
        <v>0</v>
      </c>
      <c r="AJ50" s="43">
        <f t="shared" si="5"/>
        <v>0</v>
      </c>
      <c r="AK50" s="43">
        <f t="shared" si="6"/>
        <v>1</v>
      </c>
      <c r="AL50" s="43">
        <f t="shared" si="7"/>
        <v>0</v>
      </c>
      <c r="AM50" s="43"/>
      <c r="AN50" s="45" t="str">
        <f t="shared" si="8"/>
        <v>Valinnainen</v>
      </c>
    </row>
    <row r="51" spans="1:40 16365:16383" ht="87.6">
      <c r="A51" s="5" t="s">
        <v>34</v>
      </c>
      <c r="B51" s="5" t="s">
        <v>578</v>
      </c>
      <c r="C51" s="22" t="s">
        <v>586</v>
      </c>
      <c r="D51" s="22" t="s">
        <v>579</v>
      </c>
      <c r="E51" s="17" t="s">
        <v>554</v>
      </c>
      <c r="F51" s="17"/>
      <c r="G51" s="17"/>
      <c r="H51" s="17"/>
      <c r="I51" s="17"/>
      <c r="J51" s="17" t="s">
        <v>511</v>
      </c>
      <c r="K51" s="17" t="s">
        <v>512</v>
      </c>
      <c r="L51" s="32" t="s">
        <v>587</v>
      </c>
      <c r="M51" s="61" t="s">
        <v>588</v>
      </c>
      <c r="N51" s="23" t="s">
        <v>589</v>
      </c>
      <c r="O51" s="23" t="s">
        <v>590</v>
      </c>
      <c r="P51" s="9" t="s">
        <v>591</v>
      </c>
      <c r="Q51" s="9" t="s">
        <v>584</v>
      </c>
      <c r="R51" s="9"/>
      <c r="S51" s="9" t="s">
        <v>585</v>
      </c>
      <c r="U51" s="42" t="str">
        <f t="shared" si="0"/>
        <v>FYY-05.1, L:TL IV, E:, S:, TS:</v>
      </c>
      <c r="V51" s="42" t="str">
        <f t="shared" si="1"/>
        <v>Katakri: F-05.4, F-06.6</v>
      </c>
      <c r="W51" s="43">
        <f>IFERROR(VLOOKUP(A51,Esiehdot!A$11:D$15,4,0), 0)</f>
        <v>1</v>
      </c>
      <c r="X51" s="44">
        <f>IF(Esiehdot!D$4&gt;=IFERROR(VLOOKUP(E51,Valintalistat!D$2:H$7,5,0), 99),1,0)</f>
        <v>0</v>
      </c>
      <c r="Y51" s="44">
        <f>IF(Esiehdot!D$5&gt;=IFERROR(VLOOKUP(F51,Valintalistat!E$2:H$5,4,0), 99),1,0)</f>
        <v>0</v>
      </c>
      <c r="Z51" s="44">
        <f>IF(Esiehdot!D$6&gt;=IFERROR(VLOOKUP(G51,Valintalistat!F$2:H$5,3,0),99),1,0)</f>
        <v>0</v>
      </c>
      <c r="AA51" s="44">
        <f>IF(Esiehdot!D$8&gt;=IFERROR(VLOOKUP(H51,Valintalistat!G$2:H$5,2,0),99),1,0)</f>
        <v>0</v>
      </c>
      <c r="AB51" s="43">
        <f t="shared" si="2"/>
        <v>0</v>
      </c>
      <c r="AC51" s="44">
        <f>IF(Esiehdot!E$4=IFERROR(VLOOKUP(E51,Valintalistat!D$2:H$7,5,0),99),1,0)</f>
        <v>0</v>
      </c>
      <c r="AD51" s="44">
        <f>IF(Esiehdot!E$5=IFERROR(VLOOKUP(F51,Valintalistat!E$2:H$5,4,0),99),1,0)</f>
        <v>0</v>
      </c>
      <c r="AE51" s="44">
        <f>IF(Esiehdot!E$6=IFERROR(VLOOKUP(G51,Valintalistat!F$2:H$5,3,0),99),1,0)</f>
        <v>0</v>
      </c>
      <c r="AF51" s="44">
        <f>IF(Esiehdot!E$8=IFERROR(VLOOKUP(H51,Valintalistat!G$2:H$3,2,0),98),1,0)</f>
        <v>0</v>
      </c>
      <c r="AG51" s="43">
        <f t="shared" si="3"/>
        <v>0</v>
      </c>
      <c r="AH51" s="43">
        <f>IFERROR(HLOOKUP(Esiehdot!$B$17,Käyttötapauskriteerit!G$1:P51,51,0),1)</f>
        <v>1</v>
      </c>
      <c r="AI51" s="43">
        <f t="shared" si="4"/>
        <v>0</v>
      </c>
      <c r="AJ51" s="43">
        <f t="shared" si="5"/>
        <v>0</v>
      </c>
      <c r="AK51" s="43">
        <f t="shared" si="6"/>
        <v>0</v>
      </c>
      <c r="AL51" s="43">
        <f t="shared" si="7"/>
        <v>0</v>
      </c>
      <c r="AM51" s="43"/>
      <c r="AN51" s="45" t="str">
        <f t="shared" si="8"/>
        <v>Ei ehdoteta hankintaan</v>
      </c>
    </row>
    <row r="52" spans="1:40 16365:16383" ht="50.1">
      <c r="A52" s="5" t="s">
        <v>34</v>
      </c>
      <c r="B52" s="5" t="s">
        <v>578</v>
      </c>
      <c r="C52" s="22" t="s">
        <v>592</v>
      </c>
      <c r="D52" s="22" t="s">
        <v>579</v>
      </c>
      <c r="E52" s="17" t="s">
        <v>276</v>
      </c>
      <c r="F52" s="17"/>
      <c r="G52" s="17"/>
      <c r="H52" s="17" t="s">
        <v>278</v>
      </c>
      <c r="I52" s="17"/>
      <c r="J52" s="17" t="s">
        <v>511</v>
      </c>
      <c r="K52" s="17" t="s">
        <v>512</v>
      </c>
      <c r="L52" s="32" t="s">
        <v>593</v>
      </c>
      <c r="M52" s="61" t="s">
        <v>594</v>
      </c>
      <c r="N52" s="23"/>
      <c r="O52" s="23" t="s">
        <v>595</v>
      </c>
      <c r="P52" s="9" t="s">
        <v>591</v>
      </c>
      <c r="Q52" s="9" t="s">
        <v>596</v>
      </c>
      <c r="R52" s="9" t="s">
        <v>500</v>
      </c>
      <c r="S52" s="9" t="s">
        <v>597</v>
      </c>
      <c r="U52" s="42" t="str">
        <f t="shared" si="0"/>
        <v>FYY-05.2, L:Salassa pidettävä, E:, S:, TS:Erityinen henkilötietoryhmä</v>
      </c>
      <c r="V52" s="42" t="str">
        <f t="shared" si="1"/>
        <v>Julkri: HAL-19; Katakri: F-05.6, F-06.8</v>
      </c>
      <c r="W52" s="43">
        <f>IFERROR(VLOOKUP(A52,Esiehdot!A$11:D$15,4,0), 0)</f>
        <v>1</v>
      </c>
      <c r="X52" s="44">
        <f>IF(Esiehdot!D$4&gt;=IFERROR(VLOOKUP(E52,Valintalistat!D$2:H$7,5,0), 99),1,0)</f>
        <v>0</v>
      </c>
      <c r="Y52" s="44">
        <f>IF(Esiehdot!D$5&gt;=IFERROR(VLOOKUP(F52,Valintalistat!E$2:H$5,4,0), 99),1,0)</f>
        <v>0</v>
      </c>
      <c r="Z52" s="44">
        <f>IF(Esiehdot!D$6&gt;=IFERROR(VLOOKUP(G52,Valintalistat!F$2:H$5,3,0),99),1,0)</f>
        <v>0</v>
      </c>
      <c r="AA52" s="44">
        <f>IF(Esiehdot!D$8&gt;=IFERROR(VLOOKUP(H52,Valintalistat!G$2:H$5,2,0),99),1,0)</f>
        <v>0</v>
      </c>
      <c r="AB52" s="43">
        <f t="shared" si="2"/>
        <v>0</v>
      </c>
      <c r="AC52" s="44">
        <f>IF(Esiehdot!E$4=IFERROR(VLOOKUP(E52,Valintalistat!D$2:H$7,5,0),99),1,0)</f>
        <v>1</v>
      </c>
      <c r="AD52" s="44">
        <f>IF(Esiehdot!E$5=IFERROR(VLOOKUP(F52,Valintalistat!E$2:H$5,4,0),99),1,0)</f>
        <v>0</v>
      </c>
      <c r="AE52" s="44">
        <f>IF(Esiehdot!E$6=IFERROR(VLOOKUP(G52,Valintalistat!F$2:H$5,3,0),99),1,0)</f>
        <v>0</v>
      </c>
      <c r="AF52" s="44">
        <f>IF(Esiehdot!E$8=IFERROR(VLOOKUP(H52,Valintalistat!G$2:H$3,2,0),98),1,0)</f>
        <v>0</v>
      </c>
      <c r="AG52" s="43">
        <f t="shared" si="3"/>
        <v>1</v>
      </c>
      <c r="AH52" s="43">
        <f>IFERROR(HLOOKUP(Esiehdot!$B$17,Käyttötapauskriteerit!G$1:P52,52,0),1)</f>
        <v>1</v>
      </c>
      <c r="AI52" s="43">
        <f t="shared" si="4"/>
        <v>0</v>
      </c>
      <c r="AJ52" s="43">
        <f t="shared" si="5"/>
        <v>0</v>
      </c>
      <c r="AK52" s="43">
        <f t="shared" si="6"/>
        <v>1</v>
      </c>
      <c r="AL52" s="43">
        <f t="shared" si="7"/>
        <v>0</v>
      </c>
      <c r="AM52" s="43"/>
      <c r="AN52" s="45" t="str">
        <f t="shared" si="8"/>
        <v>Valinnainen</v>
      </c>
    </row>
    <row r="53" spans="1:40 16365:16383" ht="112.5">
      <c r="A53" s="5" t="s">
        <v>34</v>
      </c>
      <c r="B53" s="5" t="s">
        <v>578</v>
      </c>
      <c r="C53" s="22" t="s">
        <v>598</v>
      </c>
      <c r="D53" s="22" t="s">
        <v>579</v>
      </c>
      <c r="E53" s="17" t="s">
        <v>571</v>
      </c>
      <c r="F53" s="17"/>
      <c r="G53" s="17"/>
      <c r="H53" s="17"/>
      <c r="I53" s="17"/>
      <c r="J53" s="17" t="s">
        <v>511</v>
      </c>
      <c r="K53" s="17" t="s">
        <v>512</v>
      </c>
      <c r="L53" s="32" t="s">
        <v>599</v>
      </c>
      <c r="M53" s="61" t="s">
        <v>600</v>
      </c>
      <c r="N53" s="23" t="s">
        <v>601</v>
      </c>
      <c r="O53" s="23"/>
      <c r="P53" s="9" t="s">
        <v>602</v>
      </c>
      <c r="Q53" s="9" t="s">
        <v>603</v>
      </c>
      <c r="R53" s="9"/>
      <c r="S53" s="9" t="s">
        <v>604</v>
      </c>
      <c r="U53" s="42" t="str">
        <f t="shared" si="0"/>
        <v>FYY-05.3, L:TL II, E:, S:, TS:</v>
      </c>
      <c r="V53" s="42" t="str">
        <f t="shared" si="1"/>
        <v>Katakri: F-05.7, F-06.9</v>
      </c>
      <c r="W53" s="43">
        <f>IFERROR(VLOOKUP(A53,Esiehdot!A$11:D$15,4,0), 0)</f>
        <v>1</v>
      </c>
      <c r="X53" s="44">
        <f>IF(Esiehdot!D$4&gt;=IFERROR(VLOOKUP(E53,Valintalistat!D$2:H$7,5,0), 99),1,0)</f>
        <v>0</v>
      </c>
      <c r="Y53" s="44">
        <f>IF(Esiehdot!D$5&gt;=IFERROR(VLOOKUP(F53,Valintalistat!E$2:H$5,4,0), 99),1,0)</f>
        <v>0</v>
      </c>
      <c r="Z53" s="44">
        <f>IF(Esiehdot!D$6&gt;=IFERROR(VLOOKUP(G53,Valintalistat!F$2:H$5,3,0),99),1,0)</f>
        <v>0</v>
      </c>
      <c r="AA53" s="44">
        <f>IF(Esiehdot!D$8&gt;=IFERROR(VLOOKUP(H53,Valintalistat!G$2:H$5,2,0),99),1,0)</f>
        <v>0</v>
      </c>
      <c r="AB53" s="43">
        <f t="shared" si="2"/>
        <v>0</v>
      </c>
      <c r="AC53" s="44">
        <f>IF(Esiehdot!E$4=IFERROR(VLOOKUP(E53,Valintalistat!D$2:H$7,5,0),99),1,0)</f>
        <v>0</v>
      </c>
      <c r="AD53" s="44">
        <f>IF(Esiehdot!E$5=IFERROR(VLOOKUP(F53,Valintalistat!E$2:H$5,4,0),99),1,0)</f>
        <v>0</v>
      </c>
      <c r="AE53" s="44">
        <f>IF(Esiehdot!E$6=IFERROR(VLOOKUP(G53,Valintalistat!F$2:H$5,3,0),99),1,0)</f>
        <v>0</v>
      </c>
      <c r="AF53" s="44">
        <f>IF(Esiehdot!E$8=IFERROR(VLOOKUP(H53,Valintalistat!G$2:H$3,2,0),98),1,0)</f>
        <v>0</v>
      </c>
      <c r="AG53" s="43">
        <f t="shared" si="3"/>
        <v>0</v>
      </c>
      <c r="AH53" s="43">
        <f>IFERROR(HLOOKUP(Esiehdot!$B$17,Käyttötapauskriteerit!G$1:P53,53,0),1)</f>
        <v>1</v>
      </c>
      <c r="AI53" s="43">
        <f t="shared" si="4"/>
        <v>0</v>
      </c>
      <c r="AJ53" s="43">
        <f t="shared" si="5"/>
        <v>0</v>
      </c>
      <c r="AK53" s="43">
        <f t="shared" si="6"/>
        <v>0</v>
      </c>
      <c r="AL53" s="43">
        <f t="shared" si="7"/>
        <v>0</v>
      </c>
      <c r="AM53" s="43"/>
      <c r="AN53" s="45" t="str">
        <f t="shared" si="8"/>
        <v>Ei ehdoteta hankintaan</v>
      </c>
    </row>
    <row r="54" spans="1:40 16365:16383" ht="37.5">
      <c r="A54" s="5" t="s">
        <v>34</v>
      </c>
      <c r="B54" s="5" t="s">
        <v>578</v>
      </c>
      <c r="C54" s="22" t="s">
        <v>605</v>
      </c>
      <c r="D54" s="22" t="s">
        <v>579</v>
      </c>
      <c r="E54" s="17" t="s">
        <v>276</v>
      </c>
      <c r="F54" s="17"/>
      <c r="G54" s="17"/>
      <c r="H54" s="17" t="s">
        <v>278</v>
      </c>
      <c r="I54" s="17"/>
      <c r="J54" s="17" t="s">
        <v>511</v>
      </c>
      <c r="K54" s="17" t="s">
        <v>512</v>
      </c>
      <c r="L54" s="32" t="s">
        <v>606</v>
      </c>
      <c r="M54" s="61" t="s">
        <v>607</v>
      </c>
      <c r="N54" s="23" t="s">
        <v>608</v>
      </c>
      <c r="O54" s="23" t="s">
        <v>609</v>
      </c>
      <c r="P54" s="9" t="s">
        <v>610</v>
      </c>
      <c r="Q54" s="9" t="s">
        <v>611</v>
      </c>
      <c r="R54" s="9"/>
      <c r="S54" s="9" t="s">
        <v>612</v>
      </c>
      <c r="U54" s="42" t="str">
        <f t="shared" si="0"/>
        <v>FYY-05.4, L:Salassa pidettävä, E:, S:, TS:Erityinen henkilötietoryhmä</v>
      </c>
      <c r="V54" s="42" t="str">
        <f t="shared" si="1"/>
        <v>Katakri: F-05.2, F-06.3</v>
      </c>
      <c r="W54" s="43">
        <f>IFERROR(VLOOKUP(A54,Esiehdot!A$11:D$15,4,0), 0)</f>
        <v>1</v>
      </c>
      <c r="X54" s="44">
        <f>IF(Esiehdot!D$4&gt;=IFERROR(VLOOKUP(E54,Valintalistat!D$2:H$7,5,0), 99),1,0)</f>
        <v>0</v>
      </c>
      <c r="Y54" s="44">
        <f>IF(Esiehdot!D$5&gt;=IFERROR(VLOOKUP(F54,Valintalistat!E$2:H$5,4,0), 99),1,0)</f>
        <v>0</v>
      </c>
      <c r="Z54" s="44">
        <f>IF(Esiehdot!D$6&gt;=IFERROR(VLOOKUP(G54,Valintalistat!F$2:H$5,3,0),99),1,0)</f>
        <v>0</v>
      </c>
      <c r="AA54" s="44">
        <f>IF(Esiehdot!D$8&gt;=IFERROR(VLOOKUP(H54,Valintalistat!G$2:H$5,2,0),99),1,0)</f>
        <v>0</v>
      </c>
      <c r="AB54" s="43">
        <f t="shared" si="2"/>
        <v>0</v>
      </c>
      <c r="AC54" s="44">
        <f>IF(Esiehdot!E$4=IFERROR(VLOOKUP(E54,Valintalistat!D$2:H$7,5,0),99),1,0)</f>
        <v>1</v>
      </c>
      <c r="AD54" s="44">
        <f>IF(Esiehdot!E$5=IFERROR(VLOOKUP(F54,Valintalistat!E$2:H$5,4,0),99),1,0)</f>
        <v>0</v>
      </c>
      <c r="AE54" s="44">
        <f>IF(Esiehdot!E$6=IFERROR(VLOOKUP(G54,Valintalistat!F$2:H$5,3,0),99),1,0)</f>
        <v>0</v>
      </c>
      <c r="AF54" s="44">
        <f>IF(Esiehdot!E$8=IFERROR(VLOOKUP(H54,Valintalistat!G$2:H$3,2,0),98),1,0)</f>
        <v>0</v>
      </c>
      <c r="AG54" s="43">
        <f t="shared" si="3"/>
        <v>1</v>
      </c>
      <c r="AH54" s="43">
        <f>IFERROR(HLOOKUP(Esiehdot!$B$17,Käyttötapauskriteerit!G$1:P54,54,0),1)</f>
        <v>1</v>
      </c>
      <c r="AI54" s="43">
        <f t="shared" si="4"/>
        <v>0</v>
      </c>
      <c r="AJ54" s="43">
        <f t="shared" si="5"/>
        <v>0</v>
      </c>
      <c r="AK54" s="43">
        <f t="shared" si="6"/>
        <v>1</v>
      </c>
      <c r="AL54" s="43">
        <f t="shared" si="7"/>
        <v>0</v>
      </c>
      <c r="AM54" s="43"/>
      <c r="AN54" s="45" t="str">
        <f t="shared" si="8"/>
        <v>Valinnainen</v>
      </c>
    </row>
    <row r="55" spans="1:40 16365:16383" ht="37.5">
      <c r="A55" s="5" t="s">
        <v>34</v>
      </c>
      <c r="B55" s="5" t="s">
        <v>578</v>
      </c>
      <c r="C55" s="22" t="s">
        <v>613</v>
      </c>
      <c r="D55" s="22" t="s">
        <v>579</v>
      </c>
      <c r="E55" s="17" t="s">
        <v>554</v>
      </c>
      <c r="F55" s="17"/>
      <c r="G55" s="17"/>
      <c r="H55" s="17"/>
      <c r="I55" s="17"/>
      <c r="J55" s="17" t="s">
        <v>511</v>
      </c>
      <c r="K55" s="17" t="s">
        <v>512</v>
      </c>
      <c r="L55" s="32" t="s">
        <v>614</v>
      </c>
      <c r="M55" s="61" t="s">
        <v>615</v>
      </c>
      <c r="N55" s="23" t="s">
        <v>616</v>
      </c>
      <c r="O55" s="23" t="s">
        <v>617</v>
      </c>
      <c r="P55" s="9" t="s">
        <v>618</v>
      </c>
      <c r="Q55" s="9" t="s">
        <v>619</v>
      </c>
      <c r="R55" s="9"/>
      <c r="S55" s="9" t="s">
        <v>620</v>
      </c>
      <c r="U55" s="42" t="str">
        <f t="shared" si="0"/>
        <v>FYY-05.5, L:TL IV, E:, S:, TS:</v>
      </c>
      <c r="V55" s="42" t="str">
        <f t="shared" si="1"/>
        <v xml:space="preserve">Katakri: F-05.3, F-06.4
</v>
      </c>
      <c r="W55" s="43">
        <f>IFERROR(VLOOKUP(A55,Esiehdot!A$11:D$15,4,0), 0)</f>
        <v>1</v>
      </c>
      <c r="X55" s="44">
        <f>IF(Esiehdot!D$4&gt;=IFERROR(VLOOKUP(E55,Valintalistat!D$2:H$7,5,0), 99),1,0)</f>
        <v>0</v>
      </c>
      <c r="Y55" s="44">
        <f>IF(Esiehdot!D$5&gt;=IFERROR(VLOOKUP(F55,Valintalistat!E$2:H$5,4,0), 99),1,0)</f>
        <v>0</v>
      </c>
      <c r="Z55" s="44">
        <f>IF(Esiehdot!D$6&gt;=IFERROR(VLOOKUP(G55,Valintalistat!F$2:H$5,3,0),99),1,0)</f>
        <v>0</v>
      </c>
      <c r="AA55" s="44">
        <f>IF(Esiehdot!D$8&gt;=IFERROR(VLOOKUP(H55,Valintalistat!G$2:H$5,2,0),99),1,0)</f>
        <v>0</v>
      </c>
      <c r="AB55" s="43">
        <f t="shared" si="2"/>
        <v>0</v>
      </c>
      <c r="AC55" s="44">
        <f>IF(Esiehdot!E$4=IFERROR(VLOOKUP(E55,Valintalistat!D$2:H$7,5,0),99),1,0)</f>
        <v>0</v>
      </c>
      <c r="AD55" s="44">
        <f>IF(Esiehdot!E$5=IFERROR(VLOOKUP(F55,Valintalistat!E$2:H$5,4,0),99),1,0)</f>
        <v>0</v>
      </c>
      <c r="AE55" s="44">
        <f>IF(Esiehdot!E$6=IFERROR(VLOOKUP(G55,Valintalistat!F$2:H$5,3,0),99),1,0)</f>
        <v>0</v>
      </c>
      <c r="AF55" s="44">
        <f>IF(Esiehdot!E$8=IFERROR(VLOOKUP(H55,Valintalistat!G$2:H$3,2,0),98),1,0)</f>
        <v>0</v>
      </c>
      <c r="AG55" s="43">
        <f t="shared" si="3"/>
        <v>0</v>
      </c>
      <c r="AH55" s="43">
        <f>IFERROR(HLOOKUP(Esiehdot!$B$17,Käyttötapauskriteerit!G$1:P55,55,0),1)</f>
        <v>1</v>
      </c>
      <c r="AI55" s="43">
        <f t="shared" si="4"/>
        <v>0</v>
      </c>
      <c r="AJ55" s="43">
        <f t="shared" si="5"/>
        <v>0</v>
      </c>
      <c r="AK55" s="43">
        <f t="shared" si="6"/>
        <v>0</v>
      </c>
      <c r="AL55" s="43">
        <f t="shared" si="7"/>
        <v>0</v>
      </c>
      <c r="AM55" s="43"/>
      <c r="AN55" s="45" t="str">
        <f t="shared" si="8"/>
        <v>Ei ehdoteta hankintaan</v>
      </c>
    </row>
    <row r="56" spans="1:40 16365:16383" ht="50.1">
      <c r="A56" s="5" t="s">
        <v>34</v>
      </c>
      <c r="B56" s="5" t="s">
        <v>621</v>
      </c>
      <c r="C56" s="22" t="s">
        <v>622</v>
      </c>
      <c r="E56" s="17" t="s">
        <v>276</v>
      </c>
      <c r="F56" s="17"/>
      <c r="G56" s="17"/>
      <c r="H56" s="17"/>
      <c r="I56" s="17"/>
      <c r="J56" s="17" t="s">
        <v>511</v>
      </c>
      <c r="K56" s="17" t="s">
        <v>512</v>
      </c>
      <c r="L56" s="32" t="s">
        <v>623</v>
      </c>
      <c r="M56" s="61" t="s">
        <v>624</v>
      </c>
      <c r="N56" s="23" t="s">
        <v>625</v>
      </c>
      <c r="O56" s="23"/>
      <c r="P56" s="9" t="s">
        <v>583</v>
      </c>
      <c r="Q56" s="9" t="s">
        <v>626</v>
      </c>
      <c r="R56" s="9" t="s">
        <v>579</v>
      </c>
      <c r="S56" s="9" t="s">
        <v>627</v>
      </c>
      <c r="U56" s="42" t="str">
        <f t="shared" si="0"/>
        <v>FYY-06, L:Salassa pidettävä, E:, S:, TS:</v>
      </c>
      <c r="V56" s="42" t="str">
        <f t="shared" si="1"/>
        <v>Julkri: FYY-05; Katakri: F-05</v>
      </c>
      <c r="W56" s="43">
        <f>IFERROR(VLOOKUP(A56,Esiehdot!A$11:D$15,4,0), 0)</f>
        <v>1</v>
      </c>
      <c r="X56" s="44">
        <f>IF(Esiehdot!D$4&gt;=IFERROR(VLOOKUP(E56,Valintalistat!D$2:H$7,5,0), 99),1,0)</f>
        <v>0</v>
      </c>
      <c r="Y56" s="44">
        <f>IF(Esiehdot!D$5&gt;=IFERROR(VLOOKUP(F56,Valintalistat!E$2:H$5,4,0), 99),1,0)</f>
        <v>0</v>
      </c>
      <c r="Z56" s="44">
        <f>IF(Esiehdot!D$6&gt;=IFERROR(VLOOKUP(G56,Valintalistat!F$2:H$5,3,0),99),1,0)</f>
        <v>0</v>
      </c>
      <c r="AA56" s="44">
        <f>IF(Esiehdot!D$8&gt;=IFERROR(VLOOKUP(H56,Valintalistat!G$2:H$5,2,0),99),1,0)</f>
        <v>0</v>
      </c>
      <c r="AB56" s="43">
        <f t="shared" si="2"/>
        <v>0</v>
      </c>
      <c r="AC56" s="44">
        <f>IF(Esiehdot!E$4=IFERROR(VLOOKUP(E56,Valintalistat!D$2:H$7,5,0),99),1,0)</f>
        <v>1</v>
      </c>
      <c r="AD56" s="44">
        <f>IF(Esiehdot!E$5=IFERROR(VLOOKUP(F56,Valintalistat!E$2:H$5,4,0),99),1,0)</f>
        <v>0</v>
      </c>
      <c r="AE56" s="44">
        <f>IF(Esiehdot!E$6=IFERROR(VLOOKUP(G56,Valintalistat!F$2:H$5,3,0),99),1,0)</f>
        <v>0</v>
      </c>
      <c r="AF56" s="44">
        <f>IF(Esiehdot!E$8=IFERROR(VLOOKUP(H56,Valintalistat!G$2:H$3,2,0),98),1,0)</f>
        <v>0</v>
      </c>
      <c r="AG56" s="43">
        <f t="shared" si="3"/>
        <v>1</v>
      </c>
      <c r="AH56" s="43">
        <f>IFERROR(HLOOKUP(Esiehdot!$B$17,Käyttötapauskriteerit!G$1:P56,56,0),1)</f>
        <v>1</v>
      </c>
      <c r="AI56" s="43">
        <f t="shared" si="4"/>
        <v>0</v>
      </c>
      <c r="AJ56" s="43">
        <f t="shared" si="5"/>
        <v>0</v>
      </c>
      <c r="AK56" s="43">
        <f t="shared" si="6"/>
        <v>1</v>
      </c>
      <c r="AL56" s="43">
        <f t="shared" si="7"/>
        <v>0</v>
      </c>
      <c r="AM56" s="43"/>
      <c r="AN56" s="45" t="str">
        <f t="shared" si="8"/>
        <v>Valinnainen</v>
      </c>
    </row>
    <row r="57" spans="1:40 16365:16383" ht="62.45">
      <c r="A57" s="5" t="s">
        <v>34</v>
      </c>
      <c r="B57" s="5" t="s">
        <v>621</v>
      </c>
      <c r="C57" s="22" t="s">
        <v>628</v>
      </c>
      <c r="D57" s="22" t="s">
        <v>622</v>
      </c>
      <c r="E57" s="17" t="s">
        <v>554</v>
      </c>
      <c r="F57" s="17"/>
      <c r="G57" s="17"/>
      <c r="H57" s="17"/>
      <c r="I57" s="17"/>
      <c r="J57" s="17" t="s">
        <v>511</v>
      </c>
      <c r="K57" s="17" t="s">
        <v>512</v>
      </c>
      <c r="L57" s="32" t="s">
        <v>629</v>
      </c>
      <c r="M57" s="61" t="s">
        <v>630</v>
      </c>
      <c r="N57" s="23" t="s">
        <v>631</v>
      </c>
      <c r="O57" s="23" t="s">
        <v>632</v>
      </c>
      <c r="P57" s="9" t="s">
        <v>633</v>
      </c>
      <c r="Q57" s="9" t="s">
        <v>634</v>
      </c>
      <c r="R57" s="9"/>
      <c r="S57" s="9" t="s">
        <v>635</v>
      </c>
      <c r="U57" s="42" t="str">
        <f t="shared" si="0"/>
        <v>FYY-06.1, L:TL IV, E:, S:, TS:</v>
      </c>
      <c r="V57" s="42" t="str">
        <f t="shared" si="1"/>
        <v>Katakri: F-05.1</v>
      </c>
      <c r="W57" s="43">
        <f>IFERROR(VLOOKUP(A57,Esiehdot!A$11:D$15,4,0), 0)</f>
        <v>1</v>
      </c>
      <c r="X57" s="44">
        <f>IF(Esiehdot!D$4&gt;=IFERROR(VLOOKUP(E57,Valintalistat!D$2:H$7,5,0), 99),1,0)</f>
        <v>0</v>
      </c>
      <c r="Y57" s="44">
        <f>IF(Esiehdot!D$5&gt;=IFERROR(VLOOKUP(F57,Valintalistat!E$2:H$5,4,0), 99),1,0)</f>
        <v>0</v>
      </c>
      <c r="Z57" s="44">
        <f>IF(Esiehdot!D$6&gt;=IFERROR(VLOOKUP(G57,Valintalistat!F$2:H$5,3,0),99),1,0)</f>
        <v>0</v>
      </c>
      <c r="AA57" s="44">
        <f>IF(Esiehdot!D$8&gt;=IFERROR(VLOOKUP(H57,Valintalistat!G$2:H$5,2,0),99),1,0)</f>
        <v>0</v>
      </c>
      <c r="AB57" s="43">
        <f t="shared" si="2"/>
        <v>0</v>
      </c>
      <c r="AC57" s="44">
        <f>IF(Esiehdot!E$4=IFERROR(VLOOKUP(E57,Valintalistat!D$2:H$7,5,0),99),1,0)</f>
        <v>0</v>
      </c>
      <c r="AD57" s="44">
        <f>IF(Esiehdot!E$5=IFERROR(VLOOKUP(F57,Valintalistat!E$2:H$5,4,0),99),1,0)</f>
        <v>0</v>
      </c>
      <c r="AE57" s="44">
        <f>IF(Esiehdot!E$6=IFERROR(VLOOKUP(G57,Valintalistat!F$2:H$5,3,0),99),1,0)</f>
        <v>0</v>
      </c>
      <c r="AF57" s="44">
        <f>IF(Esiehdot!E$8=IFERROR(VLOOKUP(H57,Valintalistat!G$2:H$3,2,0),98),1,0)</f>
        <v>0</v>
      </c>
      <c r="AG57" s="43">
        <f t="shared" si="3"/>
        <v>0</v>
      </c>
      <c r="AH57" s="43">
        <f>IFERROR(HLOOKUP(Esiehdot!$B$17,Käyttötapauskriteerit!G$1:P57,57,0),1)</f>
        <v>1</v>
      </c>
      <c r="AI57" s="43">
        <f t="shared" si="4"/>
        <v>0</v>
      </c>
      <c r="AJ57" s="43">
        <f t="shared" si="5"/>
        <v>0</v>
      </c>
      <c r="AK57" s="43">
        <f t="shared" si="6"/>
        <v>0</v>
      </c>
      <c r="AL57" s="43">
        <f t="shared" si="7"/>
        <v>0</v>
      </c>
      <c r="AM57" s="43"/>
      <c r="AN57" s="45" t="str">
        <f t="shared" si="8"/>
        <v>Ei ehdoteta hankintaan</v>
      </c>
    </row>
    <row r="58" spans="1:40 16365:16383" ht="37.5">
      <c r="A58" s="5" t="s">
        <v>34</v>
      </c>
      <c r="B58" s="5" t="s">
        <v>621</v>
      </c>
      <c r="C58" s="22" t="s">
        <v>636</v>
      </c>
      <c r="D58" s="22" t="s">
        <v>622</v>
      </c>
      <c r="E58" s="17" t="s">
        <v>554</v>
      </c>
      <c r="F58" s="17"/>
      <c r="G58" s="17"/>
      <c r="H58" s="17"/>
      <c r="I58" s="17"/>
      <c r="J58" s="17" t="s">
        <v>511</v>
      </c>
      <c r="K58" s="17" t="s">
        <v>512</v>
      </c>
      <c r="L58" s="32" t="s">
        <v>637</v>
      </c>
      <c r="M58" s="61" t="s">
        <v>638</v>
      </c>
      <c r="N58" s="23" t="s">
        <v>639</v>
      </c>
      <c r="O58" s="23" t="s">
        <v>640</v>
      </c>
      <c r="P58" s="9" t="s">
        <v>641</v>
      </c>
      <c r="Q58" s="9"/>
      <c r="R58" s="9"/>
      <c r="S58" s="9" t="s">
        <v>642</v>
      </c>
      <c r="U58" s="42" t="str">
        <f t="shared" si="0"/>
        <v>FYY-06.2, L:TL IV, E:, S:, TS:</v>
      </c>
      <c r="V58" s="42" t="str">
        <f t="shared" si="1"/>
        <v>Katakri: F-05.2</v>
      </c>
      <c r="W58" s="43">
        <f>IFERROR(VLOOKUP(A58,Esiehdot!A$11:D$15,4,0), 0)</f>
        <v>1</v>
      </c>
      <c r="X58" s="44">
        <f>IF(Esiehdot!D$4&gt;=IFERROR(VLOOKUP(E58,Valintalistat!D$2:H$7,5,0), 99),1,0)</f>
        <v>0</v>
      </c>
      <c r="Y58" s="44">
        <f>IF(Esiehdot!D$5&gt;=IFERROR(VLOOKUP(F58,Valintalistat!E$2:H$5,4,0), 99),1,0)</f>
        <v>0</v>
      </c>
      <c r="Z58" s="44">
        <f>IF(Esiehdot!D$6&gt;=IFERROR(VLOOKUP(G58,Valintalistat!F$2:H$5,3,0),99),1,0)</f>
        <v>0</v>
      </c>
      <c r="AA58" s="44">
        <f>IF(Esiehdot!D$8&gt;=IFERROR(VLOOKUP(H58,Valintalistat!G$2:H$5,2,0),99),1,0)</f>
        <v>0</v>
      </c>
      <c r="AB58" s="43">
        <f t="shared" si="2"/>
        <v>0</v>
      </c>
      <c r="AC58" s="44">
        <f>IF(Esiehdot!E$4=IFERROR(VLOOKUP(E58,Valintalistat!D$2:H$7,5,0),99),1,0)</f>
        <v>0</v>
      </c>
      <c r="AD58" s="44">
        <f>IF(Esiehdot!E$5=IFERROR(VLOOKUP(F58,Valintalistat!E$2:H$5,4,0),99),1,0)</f>
        <v>0</v>
      </c>
      <c r="AE58" s="44">
        <f>IF(Esiehdot!E$6=IFERROR(VLOOKUP(G58,Valintalistat!F$2:H$5,3,0),99),1,0)</f>
        <v>0</v>
      </c>
      <c r="AF58" s="44">
        <f>IF(Esiehdot!E$8=IFERROR(VLOOKUP(H58,Valintalistat!G$2:H$3,2,0),98),1,0)</f>
        <v>0</v>
      </c>
      <c r="AG58" s="43">
        <f t="shared" si="3"/>
        <v>0</v>
      </c>
      <c r="AH58" s="43">
        <f>IFERROR(HLOOKUP(Esiehdot!$B$17,Käyttötapauskriteerit!G$1:P58,58,0),1)</f>
        <v>1</v>
      </c>
      <c r="AI58" s="43">
        <f t="shared" si="4"/>
        <v>0</v>
      </c>
      <c r="AJ58" s="43">
        <f t="shared" si="5"/>
        <v>0</v>
      </c>
      <c r="AK58" s="43">
        <f t="shared" si="6"/>
        <v>0</v>
      </c>
      <c r="AL58" s="43">
        <f t="shared" si="7"/>
        <v>0</v>
      </c>
      <c r="AM58" s="43"/>
      <c r="AN58" s="45" t="str">
        <f t="shared" si="8"/>
        <v>Ei ehdoteta hankintaan</v>
      </c>
    </row>
    <row r="59" spans="1:40 16365:16383" ht="75">
      <c r="A59" s="5" t="s">
        <v>34</v>
      </c>
      <c r="B59" s="5" t="s">
        <v>621</v>
      </c>
      <c r="C59" s="22" t="s">
        <v>643</v>
      </c>
      <c r="D59" s="22" t="s">
        <v>622</v>
      </c>
      <c r="E59" s="17" t="s">
        <v>276</v>
      </c>
      <c r="F59" s="17"/>
      <c r="G59" s="17"/>
      <c r="H59" s="17"/>
      <c r="I59" s="17"/>
      <c r="J59" s="17" t="s">
        <v>511</v>
      </c>
      <c r="K59" s="17" t="s">
        <v>512</v>
      </c>
      <c r="L59" s="32" t="s">
        <v>644</v>
      </c>
      <c r="M59" s="61" t="s">
        <v>645</v>
      </c>
      <c r="N59" s="23" t="s">
        <v>646</v>
      </c>
      <c r="O59" s="23"/>
      <c r="P59" s="9" t="s">
        <v>647</v>
      </c>
      <c r="Q59" s="9" t="s">
        <v>648</v>
      </c>
      <c r="R59" s="9" t="s">
        <v>605</v>
      </c>
      <c r="S59" s="9" t="s">
        <v>642</v>
      </c>
      <c r="U59" s="42" t="str">
        <f t="shared" si="0"/>
        <v>FYY-06.3, L:Salassa pidettävä, E:, S:, TS:</v>
      </c>
      <c r="V59" s="42" t="str">
        <f t="shared" si="1"/>
        <v>Julkri: FYY-05.4; Katakri: F-05.2</v>
      </c>
      <c r="W59" s="43">
        <f>IFERROR(VLOOKUP(A59,Esiehdot!A$11:D$15,4,0), 0)</f>
        <v>1</v>
      </c>
      <c r="X59" s="44">
        <f>IF(Esiehdot!D$4&gt;=IFERROR(VLOOKUP(E59,Valintalistat!D$2:H$7,5,0), 99),1,0)</f>
        <v>0</v>
      </c>
      <c r="Y59" s="44">
        <f>IF(Esiehdot!D$5&gt;=IFERROR(VLOOKUP(F59,Valintalistat!E$2:H$5,4,0), 99),1,0)</f>
        <v>0</v>
      </c>
      <c r="Z59" s="44">
        <f>IF(Esiehdot!D$6&gt;=IFERROR(VLOOKUP(G59,Valintalistat!F$2:H$5,3,0),99),1,0)</f>
        <v>0</v>
      </c>
      <c r="AA59" s="44">
        <f>IF(Esiehdot!D$8&gt;=IFERROR(VLOOKUP(H59,Valintalistat!G$2:H$5,2,0),99),1,0)</f>
        <v>0</v>
      </c>
      <c r="AB59" s="43">
        <f t="shared" si="2"/>
        <v>0</v>
      </c>
      <c r="AC59" s="44">
        <f>IF(Esiehdot!E$4=IFERROR(VLOOKUP(E59,Valintalistat!D$2:H$7,5,0),99),1,0)</f>
        <v>1</v>
      </c>
      <c r="AD59" s="44">
        <f>IF(Esiehdot!E$5=IFERROR(VLOOKUP(F59,Valintalistat!E$2:H$5,4,0),99),1,0)</f>
        <v>0</v>
      </c>
      <c r="AE59" s="44">
        <f>IF(Esiehdot!E$6=IFERROR(VLOOKUP(G59,Valintalistat!F$2:H$5,3,0),99),1,0)</f>
        <v>0</v>
      </c>
      <c r="AF59" s="44">
        <f>IF(Esiehdot!E$8=IFERROR(VLOOKUP(H59,Valintalistat!G$2:H$3,2,0),98),1,0)</f>
        <v>0</v>
      </c>
      <c r="AG59" s="43">
        <f t="shared" si="3"/>
        <v>1</v>
      </c>
      <c r="AH59" s="43">
        <f>IFERROR(HLOOKUP(Esiehdot!$B$17,Käyttötapauskriteerit!G$1:P59,59,0),1)</f>
        <v>1</v>
      </c>
      <c r="AI59" s="43">
        <f t="shared" si="4"/>
        <v>0</v>
      </c>
      <c r="AJ59" s="43">
        <f t="shared" si="5"/>
        <v>0</v>
      </c>
      <c r="AK59" s="43">
        <f t="shared" si="6"/>
        <v>1</v>
      </c>
      <c r="AL59" s="43">
        <f t="shared" si="7"/>
        <v>0</v>
      </c>
      <c r="AM59" s="43"/>
      <c r="AN59" s="45" t="str">
        <f t="shared" si="8"/>
        <v>Valinnainen</v>
      </c>
    </row>
    <row r="60" spans="1:40 16365:16383" ht="50.1">
      <c r="A60" s="5" t="s">
        <v>34</v>
      </c>
      <c r="B60" s="5" t="s">
        <v>621</v>
      </c>
      <c r="C60" s="22" t="s">
        <v>649</v>
      </c>
      <c r="D60" s="22" t="s">
        <v>622</v>
      </c>
      <c r="E60" s="17" t="s">
        <v>554</v>
      </c>
      <c r="F60" s="17"/>
      <c r="G60" s="17"/>
      <c r="H60" s="17"/>
      <c r="I60" s="17"/>
      <c r="J60" s="17" t="s">
        <v>511</v>
      </c>
      <c r="K60" s="17" t="s">
        <v>512</v>
      </c>
      <c r="L60" s="32" t="s">
        <v>650</v>
      </c>
      <c r="M60" s="61" t="s">
        <v>651</v>
      </c>
      <c r="N60" s="23" t="s">
        <v>652</v>
      </c>
      <c r="O60" s="23" t="s">
        <v>653</v>
      </c>
      <c r="P60" s="9" t="s">
        <v>654</v>
      </c>
      <c r="Q60" s="9" t="s">
        <v>655</v>
      </c>
      <c r="R60" s="9"/>
      <c r="S60" s="9" t="s">
        <v>656</v>
      </c>
      <c r="U60" s="42" t="str">
        <f t="shared" si="0"/>
        <v>FYY-06.4, L:TL IV, E:, S:, TS:</v>
      </c>
      <c r="V60" s="46" t="str">
        <f t="shared" si="1"/>
        <v>Katakri: F-05.5</v>
      </c>
      <c r="W60" s="46">
        <f>IFERROR(VLOOKUP(A60,Esiehdot!A$11:D$15,4,0), 0)</f>
        <v>1</v>
      </c>
      <c r="X60" s="46">
        <f>IF(Esiehdot!D$4&gt;=IFERROR(VLOOKUP(E60,Valintalistat!D$2:H$7,5,0), 99),1,0)</f>
        <v>0</v>
      </c>
      <c r="Y60" s="46">
        <f>IF(Esiehdot!D$5&gt;=IFERROR(VLOOKUP(F60,Valintalistat!E$2:H$5,4,0), 99),1,0)</f>
        <v>0</v>
      </c>
      <c r="Z60" s="46">
        <f>IF(Esiehdot!D$6&gt;=IFERROR(VLOOKUP(G60,Valintalistat!F$2:H$5,3,0),99),1,0)</f>
        <v>0</v>
      </c>
      <c r="AA60" s="46">
        <f>IF(Esiehdot!D$8&gt;=IFERROR(VLOOKUP(H60,Valintalistat!G$2:H$5,2,0),99),1,0)</f>
        <v>0</v>
      </c>
      <c r="AB60" s="46">
        <f t="shared" si="2"/>
        <v>0</v>
      </c>
      <c r="AC60" s="46">
        <f>IF(Esiehdot!E$4=IFERROR(VLOOKUP(E60,Valintalistat!D$2:H$7,5,0),99),1,0)</f>
        <v>0</v>
      </c>
      <c r="AD60" s="46">
        <f>IF(Esiehdot!E$5=IFERROR(VLOOKUP(F60,Valintalistat!E$2:H$5,4,0),99),1,0)</f>
        <v>0</v>
      </c>
      <c r="AE60" s="46">
        <f>IF(Esiehdot!E$6=IFERROR(VLOOKUP(G60,Valintalistat!F$2:H$5,3,0),99),1,0)</f>
        <v>0</v>
      </c>
      <c r="AF60" s="46">
        <f>IF(Esiehdot!E$8=IFERROR(VLOOKUP(H60,Valintalistat!G$2:H$3,2,0),98),1,0)</f>
        <v>0</v>
      </c>
      <c r="AG60" s="46">
        <f t="shared" si="3"/>
        <v>0</v>
      </c>
      <c r="AH60" s="46">
        <f>IFERROR(HLOOKUP(Esiehdot!$B$17,Käyttötapauskriteerit!G$1:P60,60,0),1)</f>
        <v>1</v>
      </c>
      <c r="AI60" s="46">
        <f t="shared" si="4"/>
        <v>0</v>
      </c>
      <c r="AJ60" s="46">
        <f t="shared" si="5"/>
        <v>0</v>
      </c>
      <c r="AK60" s="46">
        <f t="shared" si="6"/>
        <v>0</v>
      </c>
      <c r="AL60" s="46">
        <f t="shared" si="7"/>
        <v>0</v>
      </c>
      <c r="AM60" s="46"/>
      <c r="AN60" s="45" t="str">
        <f t="shared" si="8"/>
        <v>Ei ehdoteta hankintaan</v>
      </c>
      <c r="XEK60" s="5"/>
      <c r="XEL60" s="5"/>
      <c r="XEM60" s="22"/>
      <c r="XEN60" s="22"/>
      <c r="XEO60" s="17"/>
      <c r="XEP60" s="17"/>
      <c r="XEQ60" s="17"/>
      <c r="XER60" s="17"/>
      <c r="XES60" s="17"/>
      <c r="XET60" s="17"/>
      <c r="XEU60" s="17"/>
      <c r="XEV60" s="32"/>
      <c r="XEW60" s="23"/>
      <c r="XEX60" s="23"/>
      <c r="XEY60" s="23"/>
      <c r="XEZ60" s="9"/>
      <c r="XFA60" s="9"/>
      <c r="XFB60" s="9"/>
      <c r="XFC60" s="9"/>
    </row>
    <row r="61" spans="1:40 16365:16383" ht="62.45">
      <c r="A61" s="5" t="s">
        <v>34</v>
      </c>
      <c r="B61" s="5" t="s">
        <v>657</v>
      </c>
      <c r="C61" s="22" t="s">
        <v>658</v>
      </c>
      <c r="E61" s="17" t="s">
        <v>446</v>
      </c>
      <c r="F61" s="17"/>
      <c r="G61" s="17"/>
      <c r="H61" s="17"/>
      <c r="I61" s="17"/>
      <c r="J61" s="17" t="s">
        <v>511</v>
      </c>
      <c r="K61" s="17" t="s">
        <v>512</v>
      </c>
      <c r="L61" s="32" t="s">
        <v>659</v>
      </c>
      <c r="M61" s="61" t="s">
        <v>660</v>
      </c>
      <c r="N61" s="23" t="s">
        <v>661</v>
      </c>
      <c r="O61" s="23"/>
      <c r="P61" s="9" t="s">
        <v>641</v>
      </c>
      <c r="Q61" s="9" t="s">
        <v>662</v>
      </c>
      <c r="R61" s="9" t="s">
        <v>579</v>
      </c>
      <c r="S61" s="9" t="s">
        <v>663</v>
      </c>
      <c r="U61" s="42" t="str">
        <f t="shared" si="0"/>
        <v>FYY-07, L:TL III, E:, S:, TS:</v>
      </c>
      <c r="V61" s="46" t="str">
        <f t="shared" si="1"/>
        <v>Julkri: FYY-05; Katakri: F-06</v>
      </c>
      <c r="W61" s="46">
        <f>IFERROR(VLOOKUP(A61,Esiehdot!A$11:D$15,4,0), 0)</f>
        <v>1</v>
      </c>
      <c r="X61" s="46">
        <f>IF(Esiehdot!D$4&gt;=IFERROR(VLOOKUP(E61,Valintalistat!D$2:H$7,5,0), 99),1,0)</f>
        <v>0</v>
      </c>
      <c r="Y61" s="46">
        <f>IF(Esiehdot!D$5&gt;=IFERROR(VLOOKUP(F61,Valintalistat!E$2:H$5,4,0), 99),1,0)</f>
        <v>0</v>
      </c>
      <c r="Z61" s="46">
        <f>IF(Esiehdot!D$6&gt;=IFERROR(VLOOKUP(G61,Valintalistat!F$2:H$5,3,0),99),1,0)</f>
        <v>0</v>
      </c>
      <c r="AA61" s="46">
        <f>IF(Esiehdot!D$8&gt;=IFERROR(VLOOKUP(H61,Valintalistat!G$2:H$5,2,0),99),1,0)</f>
        <v>0</v>
      </c>
      <c r="AB61" s="46">
        <f t="shared" si="2"/>
        <v>0</v>
      </c>
      <c r="AC61" s="46">
        <f>IF(Esiehdot!E$4=IFERROR(VLOOKUP(E61,Valintalistat!D$2:H$7,5,0),99),1,0)</f>
        <v>0</v>
      </c>
      <c r="AD61" s="46">
        <f>IF(Esiehdot!E$5=IFERROR(VLOOKUP(F61,Valintalistat!E$2:H$5,4,0),99),1,0)</f>
        <v>0</v>
      </c>
      <c r="AE61" s="46">
        <f>IF(Esiehdot!E$6=IFERROR(VLOOKUP(G61,Valintalistat!F$2:H$5,3,0),99),1,0)</f>
        <v>0</v>
      </c>
      <c r="AF61" s="46">
        <f>IF(Esiehdot!E$8=IFERROR(VLOOKUP(H61,Valintalistat!G$2:H$3,2,0),98),1,0)</f>
        <v>0</v>
      </c>
      <c r="AG61" s="46">
        <f t="shared" si="3"/>
        <v>0</v>
      </c>
      <c r="AH61" s="46">
        <f>IFERROR(HLOOKUP(Esiehdot!$B$17,Käyttötapauskriteerit!G$1:P61,61,0),1)</f>
        <v>1</v>
      </c>
      <c r="AI61" s="46">
        <f t="shared" si="4"/>
        <v>0</v>
      </c>
      <c r="AJ61" s="46">
        <f t="shared" si="5"/>
        <v>0</v>
      </c>
      <c r="AK61" s="46">
        <f t="shared" si="6"/>
        <v>0</v>
      </c>
      <c r="AL61" s="46">
        <f t="shared" si="7"/>
        <v>0</v>
      </c>
      <c r="AM61" s="46"/>
      <c r="AN61" s="45" t="str">
        <f t="shared" si="8"/>
        <v>Ei ehdoteta hankintaan</v>
      </c>
      <c r="XEK61" s="5"/>
      <c r="XEL61" s="5"/>
      <c r="XEM61" s="22"/>
      <c r="XEN61" s="22"/>
      <c r="XEO61" s="17"/>
      <c r="XEP61" s="17"/>
      <c r="XEQ61" s="17"/>
      <c r="XER61" s="17"/>
      <c r="XES61" s="17"/>
      <c r="XET61" s="17"/>
      <c r="XEU61" s="17"/>
      <c r="XEV61" s="32"/>
      <c r="XEW61" s="23"/>
      <c r="XEX61" s="23"/>
      <c r="XEY61" s="23"/>
      <c r="XEZ61" s="9"/>
      <c r="XFA61" s="9"/>
      <c r="XFB61" s="9"/>
      <c r="XFC61" s="9"/>
    </row>
    <row r="62" spans="1:40 16365:16383" ht="75">
      <c r="A62" s="5" t="s">
        <v>34</v>
      </c>
      <c r="B62" s="5" t="s">
        <v>657</v>
      </c>
      <c r="C62" s="22" t="s">
        <v>664</v>
      </c>
      <c r="D62" s="22" t="s">
        <v>658</v>
      </c>
      <c r="E62" s="17" t="s">
        <v>446</v>
      </c>
      <c r="F62" s="17"/>
      <c r="G62" s="17"/>
      <c r="H62" s="17"/>
      <c r="I62" s="17"/>
      <c r="J62" s="17" t="s">
        <v>511</v>
      </c>
      <c r="K62" s="17" t="s">
        <v>512</v>
      </c>
      <c r="L62" s="32" t="s">
        <v>665</v>
      </c>
      <c r="M62" s="61" t="s">
        <v>666</v>
      </c>
      <c r="N62" s="23" t="s">
        <v>667</v>
      </c>
      <c r="O62" s="23" t="s">
        <v>668</v>
      </c>
      <c r="P62" s="9" t="s">
        <v>669</v>
      </c>
      <c r="Q62" s="9" t="s">
        <v>662</v>
      </c>
      <c r="R62" s="9"/>
      <c r="S62" s="9" t="s">
        <v>670</v>
      </c>
      <c r="U62" s="42" t="str">
        <f t="shared" si="0"/>
        <v>FYY-07.1, L:TL III, E:, S:, TS:</v>
      </c>
      <c r="V62" s="46" t="str">
        <f t="shared" si="1"/>
        <v>Katakri: F-06.1</v>
      </c>
      <c r="W62" s="46">
        <f>IFERROR(VLOOKUP(A62,Esiehdot!A$11:D$15,4,0), 0)</f>
        <v>1</v>
      </c>
      <c r="X62" s="46">
        <f>IF(Esiehdot!D$4&gt;=IFERROR(VLOOKUP(E62,Valintalistat!D$2:H$7,5,0), 99),1,0)</f>
        <v>0</v>
      </c>
      <c r="Y62" s="46">
        <f>IF(Esiehdot!D$5&gt;=IFERROR(VLOOKUP(F62,Valintalistat!E$2:H$5,4,0), 99),1,0)</f>
        <v>0</v>
      </c>
      <c r="Z62" s="46">
        <f>IF(Esiehdot!D$6&gt;=IFERROR(VLOOKUP(G62,Valintalistat!F$2:H$5,3,0),99),1,0)</f>
        <v>0</v>
      </c>
      <c r="AA62" s="46">
        <f>IF(Esiehdot!D$8&gt;=IFERROR(VLOOKUP(H62,Valintalistat!G$2:H$5,2,0),99),1,0)</f>
        <v>0</v>
      </c>
      <c r="AB62" s="46">
        <f t="shared" si="2"/>
        <v>0</v>
      </c>
      <c r="AC62" s="46">
        <f>IF(Esiehdot!E$4=IFERROR(VLOOKUP(E62,Valintalistat!D$2:H$7,5,0),99),1,0)</f>
        <v>0</v>
      </c>
      <c r="AD62" s="46">
        <f>IF(Esiehdot!E$5=IFERROR(VLOOKUP(F62,Valintalistat!E$2:H$5,4,0),99),1,0)</f>
        <v>0</v>
      </c>
      <c r="AE62" s="46">
        <f>IF(Esiehdot!E$6=IFERROR(VLOOKUP(G62,Valintalistat!F$2:H$5,3,0),99),1,0)</f>
        <v>0</v>
      </c>
      <c r="AF62" s="46">
        <f>IF(Esiehdot!E$8=IFERROR(VLOOKUP(H62,Valintalistat!G$2:H$3,2,0),98),1,0)</f>
        <v>0</v>
      </c>
      <c r="AG62" s="46">
        <f t="shared" si="3"/>
        <v>0</v>
      </c>
      <c r="AH62" s="46">
        <f>IFERROR(HLOOKUP(Esiehdot!$B$17,Käyttötapauskriteerit!G$1:P62,62,0),1)</f>
        <v>1</v>
      </c>
      <c r="AI62" s="46">
        <f t="shared" si="4"/>
        <v>0</v>
      </c>
      <c r="AJ62" s="46">
        <f t="shared" si="5"/>
        <v>0</v>
      </c>
      <c r="AK62" s="46">
        <f t="shared" si="6"/>
        <v>0</v>
      </c>
      <c r="AL62" s="46">
        <f t="shared" si="7"/>
        <v>0</v>
      </c>
      <c r="AM62" s="46"/>
      <c r="AN62" s="45" t="str">
        <f t="shared" si="8"/>
        <v>Ei ehdoteta hankintaan</v>
      </c>
      <c r="XEK62" s="5"/>
      <c r="XEL62" s="5"/>
      <c r="XEM62" s="22"/>
      <c r="XEN62" s="22"/>
      <c r="XEO62" s="17"/>
      <c r="XEP62" s="17"/>
      <c r="XEQ62" s="17"/>
      <c r="XER62" s="17"/>
      <c r="XES62" s="17"/>
      <c r="XET62" s="17"/>
      <c r="XEU62" s="17"/>
      <c r="XEV62" s="32"/>
      <c r="XEW62" s="23"/>
      <c r="XEX62" s="23"/>
      <c r="XEY62" s="23"/>
      <c r="XEZ62" s="9"/>
      <c r="XFA62" s="9"/>
      <c r="XFB62" s="9"/>
      <c r="XFC62" s="9"/>
    </row>
    <row r="63" spans="1:40 16365:16383" ht="50.1">
      <c r="A63" s="5" t="s">
        <v>34</v>
      </c>
      <c r="B63" s="5" t="s">
        <v>657</v>
      </c>
      <c r="C63" s="22" t="s">
        <v>671</v>
      </c>
      <c r="D63" s="22" t="s">
        <v>658</v>
      </c>
      <c r="E63" s="17" t="s">
        <v>446</v>
      </c>
      <c r="F63" s="17"/>
      <c r="G63" s="17"/>
      <c r="H63" s="17"/>
      <c r="I63" s="17"/>
      <c r="J63" s="17" t="s">
        <v>511</v>
      </c>
      <c r="K63" s="17" t="s">
        <v>512</v>
      </c>
      <c r="L63" s="32" t="s">
        <v>672</v>
      </c>
      <c r="M63" s="61" t="s">
        <v>673</v>
      </c>
      <c r="N63" s="23" t="s">
        <v>674</v>
      </c>
      <c r="O63" s="23" t="s">
        <v>675</v>
      </c>
      <c r="P63" s="9" t="s">
        <v>676</v>
      </c>
      <c r="Q63" s="9" t="s">
        <v>662</v>
      </c>
      <c r="R63" s="9"/>
      <c r="S63" s="9" t="s">
        <v>677</v>
      </c>
      <c r="U63" s="42" t="str">
        <f t="shared" si="0"/>
        <v>FYY-07.2, L:TL III, E:, S:, TS:</v>
      </c>
      <c r="V63" s="42" t="str">
        <f t="shared" si="1"/>
        <v>Katakri: F-06.2</v>
      </c>
      <c r="W63" s="43">
        <f>IFERROR(VLOOKUP(A63,Esiehdot!A$11:D$15,4,0), 0)</f>
        <v>1</v>
      </c>
      <c r="X63" s="44">
        <f>IF(Esiehdot!D$4&gt;=IFERROR(VLOOKUP(E63,Valintalistat!D$2:H$7,5,0), 99),1,0)</f>
        <v>0</v>
      </c>
      <c r="Y63" s="44">
        <f>IF(Esiehdot!D$5&gt;=IFERROR(VLOOKUP(F63,Valintalistat!E$2:H$5,4,0), 99),1,0)</f>
        <v>0</v>
      </c>
      <c r="Z63" s="44">
        <f>IF(Esiehdot!D$6&gt;=IFERROR(VLOOKUP(G63,Valintalistat!F$2:H$5,3,0),99),1,0)</f>
        <v>0</v>
      </c>
      <c r="AA63" s="44">
        <f>IF(Esiehdot!D$8&gt;=IFERROR(VLOOKUP(H63,Valintalistat!G$2:H$5,2,0),99),1,0)</f>
        <v>0</v>
      </c>
      <c r="AB63" s="43">
        <f t="shared" si="2"/>
        <v>0</v>
      </c>
      <c r="AC63" s="44">
        <f>IF(Esiehdot!E$4=IFERROR(VLOOKUP(E63,Valintalistat!D$2:H$7,5,0),99),1,0)</f>
        <v>0</v>
      </c>
      <c r="AD63" s="44">
        <f>IF(Esiehdot!E$5=IFERROR(VLOOKUP(F63,Valintalistat!E$2:H$5,4,0),99),1,0)</f>
        <v>0</v>
      </c>
      <c r="AE63" s="44">
        <f>IF(Esiehdot!E$6=IFERROR(VLOOKUP(G63,Valintalistat!F$2:H$5,3,0),99),1,0)</f>
        <v>0</v>
      </c>
      <c r="AF63" s="44">
        <f>IF(Esiehdot!E$8=IFERROR(VLOOKUP(H63,Valintalistat!G$2:H$3,2,0),98),1,0)</f>
        <v>0</v>
      </c>
      <c r="AG63" s="43">
        <f t="shared" si="3"/>
        <v>0</v>
      </c>
      <c r="AH63" s="43">
        <f>IFERROR(HLOOKUP(Esiehdot!$B$17,Käyttötapauskriteerit!G$1:P63,63,0),1)</f>
        <v>1</v>
      </c>
      <c r="AI63" s="43">
        <f t="shared" si="4"/>
        <v>0</v>
      </c>
      <c r="AJ63" s="43">
        <f t="shared" si="5"/>
        <v>0</v>
      </c>
      <c r="AK63" s="43">
        <f t="shared" si="6"/>
        <v>0</v>
      </c>
      <c r="AL63" s="43">
        <f t="shared" si="7"/>
        <v>0</v>
      </c>
      <c r="AM63" s="43"/>
      <c r="AN63" s="45" t="str">
        <f t="shared" si="8"/>
        <v>Ei ehdoteta hankintaan</v>
      </c>
    </row>
    <row r="64" spans="1:40 16365:16383" ht="62.45">
      <c r="A64" s="5" t="s">
        <v>34</v>
      </c>
      <c r="B64" s="5" t="s">
        <v>657</v>
      </c>
      <c r="C64" s="22" t="s">
        <v>678</v>
      </c>
      <c r="D64" s="22" t="s">
        <v>658</v>
      </c>
      <c r="E64" s="17" t="s">
        <v>446</v>
      </c>
      <c r="F64" s="17"/>
      <c r="G64" s="17"/>
      <c r="H64" s="17"/>
      <c r="I64" s="17"/>
      <c r="J64" s="17" t="s">
        <v>511</v>
      </c>
      <c r="K64" s="17" t="s">
        <v>512</v>
      </c>
      <c r="L64" s="32" t="s">
        <v>679</v>
      </c>
      <c r="M64" s="61" t="s">
        <v>680</v>
      </c>
      <c r="N64" s="23" t="s">
        <v>681</v>
      </c>
      <c r="O64" s="23"/>
      <c r="P64" s="9" t="s">
        <v>669</v>
      </c>
      <c r="Q64" s="9" t="s">
        <v>682</v>
      </c>
      <c r="R64" s="9" t="s">
        <v>605</v>
      </c>
      <c r="S64" s="9" t="s">
        <v>683</v>
      </c>
      <c r="U64" s="42" t="str">
        <f t="shared" si="0"/>
        <v>FYY-07.3, L:TL III, E:, S:, TS:</v>
      </c>
      <c r="V64" s="42" t="str">
        <f t="shared" si="1"/>
        <v>Julkri: FYY-05.4; Katakri: F-06.3</v>
      </c>
      <c r="W64" s="43">
        <f>IFERROR(VLOOKUP(A64,Esiehdot!A$11:D$15,4,0), 0)</f>
        <v>1</v>
      </c>
      <c r="X64" s="44">
        <f>IF(Esiehdot!D$4&gt;=IFERROR(VLOOKUP(E64,Valintalistat!D$2:H$7,5,0), 99),1,0)</f>
        <v>0</v>
      </c>
      <c r="Y64" s="44">
        <f>IF(Esiehdot!D$5&gt;=IFERROR(VLOOKUP(F64,Valintalistat!E$2:H$5,4,0), 99),1,0)</f>
        <v>0</v>
      </c>
      <c r="Z64" s="44">
        <f>IF(Esiehdot!D$6&gt;=IFERROR(VLOOKUP(G64,Valintalistat!F$2:H$5,3,0),99),1,0)</f>
        <v>0</v>
      </c>
      <c r="AA64" s="44">
        <f>IF(Esiehdot!D$8&gt;=IFERROR(VLOOKUP(H64,Valintalistat!G$2:H$5,2,0),99),1,0)</f>
        <v>0</v>
      </c>
      <c r="AB64" s="43">
        <f t="shared" si="2"/>
        <v>0</v>
      </c>
      <c r="AC64" s="44">
        <f>IF(Esiehdot!E$4=IFERROR(VLOOKUP(E64,Valintalistat!D$2:H$7,5,0),99),1,0)</f>
        <v>0</v>
      </c>
      <c r="AD64" s="44">
        <f>IF(Esiehdot!E$5=IFERROR(VLOOKUP(F64,Valintalistat!E$2:H$5,4,0),99),1,0)</f>
        <v>0</v>
      </c>
      <c r="AE64" s="44">
        <f>IF(Esiehdot!E$6=IFERROR(VLOOKUP(G64,Valintalistat!F$2:H$5,3,0),99),1,0)</f>
        <v>0</v>
      </c>
      <c r="AF64" s="44">
        <f>IF(Esiehdot!E$8=IFERROR(VLOOKUP(H64,Valintalistat!G$2:H$3,2,0),98),1,0)</f>
        <v>0</v>
      </c>
      <c r="AG64" s="43">
        <f t="shared" si="3"/>
        <v>0</v>
      </c>
      <c r="AH64" s="43">
        <f>IFERROR(HLOOKUP(Esiehdot!$B$17,Käyttötapauskriteerit!G$1:P64,64,0),1)</f>
        <v>1</v>
      </c>
      <c r="AI64" s="43">
        <f t="shared" si="4"/>
        <v>0</v>
      </c>
      <c r="AJ64" s="43">
        <f t="shared" si="5"/>
        <v>0</v>
      </c>
      <c r="AK64" s="43">
        <f t="shared" si="6"/>
        <v>0</v>
      </c>
      <c r="AL64" s="43">
        <f t="shared" si="7"/>
        <v>0</v>
      </c>
      <c r="AM64" s="43"/>
      <c r="AN64" s="45" t="str">
        <f t="shared" si="8"/>
        <v>Ei ehdoteta hankintaan</v>
      </c>
    </row>
    <row r="65" spans="1:40 16365:16383" ht="125.1">
      <c r="A65" s="5" t="s">
        <v>34</v>
      </c>
      <c r="B65" s="5" t="s">
        <v>657</v>
      </c>
      <c r="C65" s="22" t="s">
        <v>684</v>
      </c>
      <c r="D65" s="22" t="s">
        <v>658</v>
      </c>
      <c r="E65" s="17" t="s">
        <v>446</v>
      </c>
      <c r="F65" s="17"/>
      <c r="G65" s="17"/>
      <c r="H65" s="17"/>
      <c r="I65" s="17"/>
      <c r="J65" s="17" t="s">
        <v>511</v>
      </c>
      <c r="K65" s="17" t="s">
        <v>512</v>
      </c>
      <c r="L65" s="32" t="s">
        <v>685</v>
      </c>
      <c r="M65" s="61" t="s">
        <v>686</v>
      </c>
      <c r="N65" s="23" t="s">
        <v>687</v>
      </c>
      <c r="O65" s="23"/>
      <c r="P65" s="9" t="s">
        <v>688</v>
      </c>
      <c r="Q65" s="9" t="s">
        <v>682</v>
      </c>
      <c r="R65" s="9" t="s">
        <v>613</v>
      </c>
      <c r="S65" s="9" t="s">
        <v>689</v>
      </c>
      <c r="U65" s="42" t="str">
        <f t="shared" si="0"/>
        <v>FYY-07.4, L:TL III, E:, S:, TS:</v>
      </c>
      <c r="V65" s="42" t="str">
        <f t="shared" si="1"/>
        <v>Julkri: FYY-05.5; Katakri: F-06.4</v>
      </c>
      <c r="W65" s="43">
        <f>IFERROR(VLOOKUP(A65,Esiehdot!A$11:D$15,4,0), 0)</f>
        <v>1</v>
      </c>
      <c r="X65" s="44">
        <f>IF(Esiehdot!D$4&gt;=IFERROR(VLOOKUP(E65,Valintalistat!D$2:H$7,5,0), 99),1,0)</f>
        <v>0</v>
      </c>
      <c r="Y65" s="44">
        <f>IF(Esiehdot!D$5&gt;=IFERROR(VLOOKUP(F65,Valintalistat!E$2:H$5,4,0), 99),1,0)</f>
        <v>0</v>
      </c>
      <c r="Z65" s="44">
        <f>IF(Esiehdot!D$6&gt;=IFERROR(VLOOKUP(G65,Valintalistat!F$2:H$5,3,0),99),1,0)</f>
        <v>0</v>
      </c>
      <c r="AA65" s="44">
        <f>IF(Esiehdot!D$8&gt;=IFERROR(VLOOKUP(H65,Valintalistat!G$2:H$5,2,0),99),1,0)</f>
        <v>0</v>
      </c>
      <c r="AB65" s="43">
        <f t="shared" si="2"/>
        <v>0</v>
      </c>
      <c r="AC65" s="44">
        <f>IF(Esiehdot!E$4=IFERROR(VLOOKUP(E65,Valintalistat!D$2:H$7,5,0),99),1,0)</f>
        <v>0</v>
      </c>
      <c r="AD65" s="44">
        <f>IF(Esiehdot!E$5=IFERROR(VLOOKUP(F65,Valintalistat!E$2:H$5,4,0),99),1,0)</f>
        <v>0</v>
      </c>
      <c r="AE65" s="44">
        <f>IF(Esiehdot!E$6=IFERROR(VLOOKUP(G65,Valintalistat!F$2:H$5,3,0),99),1,0)</f>
        <v>0</v>
      </c>
      <c r="AF65" s="44">
        <f>IF(Esiehdot!E$8=IFERROR(VLOOKUP(H65,Valintalistat!G$2:H$3,2,0),98),1,0)</f>
        <v>0</v>
      </c>
      <c r="AG65" s="43">
        <f t="shared" si="3"/>
        <v>0</v>
      </c>
      <c r="AH65" s="43">
        <f>IFERROR(HLOOKUP(Esiehdot!$B$17,Käyttötapauskriteerit!G$1:P65,65,0),1)</f>
        <v>1</v>
      </c>
      <c r="AI65" s="43">
        <f t="shared" si="4"/>
        <v>0</v>
      </c>
      <c r="AJ65" s="43">
        <f t="shared" si="5"/>
        <v>0</v>
      </c>
      <c r="AK65" s="43">
        <f t="shared" si="6"/>
        <v>0</v>
      </c>
      <c r="AL65" s="43">
        <f t="shared" si="7"/>
        <v>0</v>
      </c>
      <c r="AM65" s="43"/>
      <c r="AN65" s="45" t="str">
        <f t="shared" si="8"/>
        <v>Ei ehdoteta hankintaan</v>
      </c>
    </row>
    <row r="66" spans="1:40 16365:16383" s="17" customFormat="1" ht="37.5">
      <c r="A66" s="5" t="s">
        <v>34</v>
      </c>
      <c r="B66" s="5" t="s">
        <v>657</v>
      </c>
      <c r="C66" s="22" t="s">
        <v>690</v>
      </c>
      <c r="D66" s="22" t="s">
        <v>658</v>
      </c>
      <c r="E66" s="17" t="s">
        <v>446</v>
      </c>
      <c r="J66" s="17" t="s">
        <v>511</v>
      </c>
      <c r="K66" s="17" t="s">
        <v>512</v>
      </c>
      <c r="L66" s="32" t="s">
        <v>691</v>
      </c>
      <c r="M66" s="61" t="s">
        <v>692</v>
      </c>
      <c r="N66" s="23" t="s">
        <v>693</v>
      </c>
      <c r="O66" s="23" t="s">
        <v>694</v>
      </c>
      <c r="P66" s="9" t="s">
        <v>695</v>
      </c>
      <c r="Q66" s="9" t="s">
        <v>696</v>
      </c>
      <c r="R66" s="9" t="s">
        <v>420</v>
      </c>
      <c r="S66" s="9" t="s">
        <v>697</v>
      </c>
      <c r="U66" s="42" t="str">
        <f t="shared" si="0"/>
        <v>FYY-07.5, L:TL III, E:, S:, TS:</v>
      </c>
      <c r="V66" s="42" t="str">
        <f t="shared" si="1"/>
        <v>Julkri: HAL-12; Katakri: F-06.5</v>
      </c>
      <c r="W66" s="43">
        <f>IFERROR(VLOOKUP(A66,Esiehdot!A$11:D$15,4,0), 0)</f>
        <v>1</v>
      </c>
      <c r="X66" s="44">
        <f>IF(Esiehdot!D$4&gt;=IFERROR(VLOOKUP(E66,Valintalistat!D$2:H$7,5,0), 99),1,0)</f>
        <v>0</v>
      </c>
      <c r="Y66" s="44">
        <f>IF(Esiehdot!D$5&gt;=IFERROR(VLOOKUP(F66,Valintalistat!E$2:H$5,4,0), 99),1,0)</f>
        <v>0</v>
      </c>
      <c r="Z66" s="44">
        <f>IF(Esiehdot!D$6&gt;=IFERROR(VLOOKUP(G66,Valintalistat!F$2:H$5,3,0),99),1,0)</f>
        <v>0</v>
      </c>
      <c r="AA66" s="44">
        <f>IF(Esiehdot!D$8&gt;=IFERROR(VLOOKUP(H66,Valintalistat!G$2:H$5,2,0),99),1,0)</f>
        <v>0</v>
      </c>
      <c r="AB66" s="43">
        <f t="shared" si="2"/>
        <v>0</v>
      </c>
      <c r="AC66" s="44">
        <f>IF(Esiehdot!E$4=IFERROR(VLOOKUP(E66,Valintalistat!D$2:H$7,5,0),99),1,0)</f>
        <v>0</v>
      </c>
      <c r="AD66" s="44">
        <f>IF(Esiehdot!E$5=IFERROR(VLOOKUP(F66,Valintalistat!E$2:H$5,4,0),99),1,0)</f>
        <v>0</v>
      </c>
      <c r="AE66" s="44">
        <f>IF(Esiehdot!E$6=IFERROR(VLOOKUP(G66,Valintalistat!F$2:H$5,3,0),99),1,0)</f>
        <v>0</v>
      </c>
      <c r="AF66" s="44">
        <f>IF(Esiehdot!E$8=IFERROR(VLOOKUP(H66,Valintalistat!G$2:H$3,2,0),98),1,0)</f>
        <v>0</v>
      </c>
      <c r="AG66" s="43">
        <f t="shared" si="3"/>
        <v>0</v>
      </c>
      <c r="AH66" s="43">
        <f>IFERROR(HLOOKUP(Esiehdot!$B$17,Käyttötapauskriteerit!G$1:P66,66,0),1)</f>
        <v>1</v>
      </c>
      <c r="AI66" s="43">
        <f t="shared" si="4"/>
        <v>0</v>
      </c>
      <c r="AJ66" s="43">
        <f t="shared" si="5"/>
        <v>0</v>
      </c>
      <c r="AK66" s="43">
        <f t="shared" si="6"/>
        <v>0</v>
      </c>
      <c r="AL66" s="43">
        <f t="shared" si="7"/>
        <v>0</v>
      </c>
      <c r="AM66" s="43"/>
      <c r="AN66" s="45" t="str">
        <f t="shared" si="8"/>
        <v>Ei ehdoteta hankintaan</v>
      </c>
    </row>
    <row r="67" spans="1:40 16365:16383" ht="75">
      <c r="A67" s="5" t="s">
        <v>34</v>
      </c>
      <c r="B67" s="5" t="s">
        <v>657</v>
      </c>
      <c r="C67" s="22" t="s">
        <v>698</v>
      </c>
      <c r="D67" s="22" t="s">
        <v>658</v>
      </c>
      <c r="E67" s="17" t="s">
        <v>446</v>
      </c>
      <c r="F67" s="17"/>
      <c r="G67" s="17"/>
      <c r="H67" s="17"/>
      <c r="I67" s="17"/>
      <c r="J67" s="17" t="s">
        <v>511</v>
      </c>
      <c r="K67" s="17" t="s">
        <v>512</v>
      </c>
      <c r="L67" s="32" t="s">
        <v>699</v>
      </c>
      <c r="M67" s="61" t="s">
        <v>700</v>
      </c>
      <c r="N67" s="23" t="s">
        <v>701</v>
      </c>
      <c r="O67" s="23" t="s">
        <v>702</v>
      </c>
      <c r="P67" s="9" t="s">
        <v>703</v>
      </c>
      <c r="Q67" s="9" t="s">
        <v>696</v>
      </c>
      <c r="R67" s="9"/>
      <c r="S67" s="9" t="s">
        <v>704</v>
      </c>
      <c r="U67" s="42" t="str">
        <f t="shared" ref="U67:U130" si="9">CONCATENATE(C67,", L:",E67,", E:",F67,", S:",G67,", TS:",H67)</f>
        <v>FYY-07.6, L:TL III, E:, S:, TS:</v>
      </c>
      <c r="V67" s="42" t="str">
        <f t="shared" ref="V67:V130" si="10">IF(R67="",IF(S67="","",CONCATENATE("Katakri: ",S67)),IF(S67="",CONCATENATE("Julkri: ",R67),CONCATENATE("Julkri: ",R67,"; Katakri: ",S67)))</f>
        <v>Katakri: F-06.7</v>
      </c>
      <c r="W67" s="43">
        <f>IFERROR(VLOOKUP(A67,Esiehdot!A$11:D$15,4,0), 0)</f>
        <v>1</v>
      </c>
      <c r="X67" s="44">
        <f>IF(Esiehdot!D$4&gt;=IFERROR(VLOOKUP(E67,Valintalistat!D$2:H$7,5,0), 99),1,0)</f>
        <v>0</v>
      </c>
      <c r="Y67" s="44">
        <f>IF(Esiehdot!D$5&gt;=IFERROR(VLOOKUP(F67,Valintalistat!E$2:H$5,4,0), 99),1,0)</f>
        <v>0</v>
      </c>
      <c r="Z67" s="44">
        <f>IF(Esiehdot!D$6&gt;=IFERROR(VLOOKUP(G67,Valintalistat!F$2:H$5,3,0),99),1,0)</f>
        <v>0</v>
      </c>
      <c r="AA67" s="44">
        <f>IF(Esiehdot!D$8&gt;=IFERROR(VLOOKUP(H67,Valintalistat!G$2:H$5,2,0),99),1,0)</f>
        <v>0</v>
      </c>
      <c r="AB67" s="43">
        <f t="shared" ref="AB67:AB130" si="11">IF(X67+Y67+Z67+AA67=0,0,1)</f>
        <v>0</v>
      </c>
      <c r="AC67" s="44">
        <f>IF(Esiehdot!E$4=IFERROR(VLOOKUP(E67,Valintalistat!D$2:H$7,5,0),99),1,0)</f>
        <v>0</v>
      </c>
      <c r="AD67" s="44">
        <f>IF(Esiehdot!E$5=IFERROR(VLOOKUP(F67,Valintalistat!E$2:H$5,4,0),99),1,0)</f>
        <v>0</v>
      </c>
      <c r="AE67" s="44">
        <f>IF(Esiehdot!E$6=IFERROR(VLOOKUP(G67,Valintalistat!F$2:H$5,3,0),99),1,0)</f>
        <v>0</v>
      </c>
      <c r="AF67" s="44">
        <f>IF(Esiehdot!E$8=IFERROR(VLOOKUP(H67,Valintalistat!G$2:H$3,2,0),98),1,0)</f>
        <v>0</v>
      </c>
      <c r="AG67" s="43">
        <f t="shared" ref="AG67:AG130" si="12">IF(AC67+AD67+AE67+AF67&gt;X67+Y67+Z67+AA67,1,0)</f>
        <v>0</v>
      </c>
      <c r="AH67" s="43">
        <f>IFERROR(HLOOKUP(Esiehdot!$B$17,Käyttötapauskriteerit!G$1:P67,67,0),1)</f>
        <v>1</v>
      </c>
      <c r="AI67" s="43">
        <f t="shared" ref="AI67:AI130" si="13">IF(W67*AB67*AH67=1,1,0)</f>
        <v>0</v>
      </c>
      <c r="AJ67" s="43">
        <f t="shared" ref="AJ67:AJ130" si="14">IF(W67*AB67*AH67=2,1,0)</f>
        <v>0</v>
      </c>
      <c r="AK67" s="43">
        <f t="shared" ref="AK67:AK130" si="15">IF(W67*AG67*AH67=1,1,0)</f>
        <v>0</v>
      </c>
      <c r="AL67" s="43">
        <f t="shared" ref="AL67:AL130" si="16">IF(W67*AG67*AH67=2,1,0)</f>
        <v>0</v>
      </c>
      <c r="AM67" s="43"/>
      <c r="AN67" s="45" t="str">
        <f t="shared" ref="AN67:AN130" si="17">IF(C67="","",IF(AI67=1,"Olennainen",IF(AJ67=1,"Valinnainen",IF(AK67=1,"Valinnainen",IF(AL67=1,"Valinnainen","Ei ehdoteta hankintaan")))))</f>
        <v>Ei ehdoteta hankintaan</v>
      </c>
    </row>
    <row r="68" spans="1:40 16365:16383" s="17" customFormat="1" ht="187.5">
      <c r="A68" s="5" t="s">
        <v>34</v>
      </c>
      <c r="B68" s="5" t="s">
        <v>657</v>
      </c>
      <c r="C68" s="22" t="s">
        <v>705</v>
      </c>
      <c r="D68" s="22" t="s">
        <v>658</v>
      </c>
      <c r="E68" s="17" t="s">
        <v>446</v>
      </c>
      <c r="J68" s="17" t="s">
        <v>511</v>
      </c>
      <c r="K68" s="17" t="s">
        <v>512</v>
      </c>
      <c r="L68" s="32" t="s">
        <v>706</v>
      </c>
      <c r="M68" s="61" t="s">
        <v>707</v>
      </c>
      <c r="N68" s="23"/>
      <c r="O68" s="23"/>
      <c r="P68" s="9" t="s">
        <v>708</v>
      </c>
      <c r="Q68" s="9" t="s">
        <v>709</v>
      </c>
      <c r="R68" s="9"/>
      <c r="S68" s="9" t="s">
        <v>710</v>
      </c>
      <c r="U68" s="42" t="str">
        <f t="shared" si="9"/>
        <v>FYY-07.7, L:TL III, E:, S:, TS:</v>
      </c>
      <c r="V68" s="42" t="str">
        <f t="shared" si="10"/>
        <v>Katakri: F-06.10</v>
      </c>
      <c r="W68" s="43">
        <f>IFERROR(VLOOKUP(A68,Esiehdot!A$11:D$15,4,0), 0)</f>
        <v>1</v>
      </c>
      <c r="X68" s="44">
        <f>IF(Esiehdot!D$4&gt;=IFERROR(VLOOKUP(E68,Valintalistat!D$2:H$7,5,0), 99),1,0)</f>
        <v>0</v>
      </c>
      <c r="Y68" s="44">
        <f>IF(Esiehdot!D$5&gt;=IFERROR(VLOOKUP(F68,Valintalistat!E$2:H$5,4,0), 99),1,0)</f>
        <v>0</v>
      </c>
      <c r="Z68" s="44">
        <f>IF(Esiehdot!D$6&gt;=IFERROR(VLOOKUP(G68,Valintalistat!F$2:H$5,3,0),99),1,0)</f>
        <v>0</v>
      </c>
      <c r="AA68" s="44">
        <f>IF(Esiehdot!D$8&gt;=IFERROR(VLOOKUP(H68,Valintalistat!G$2:H$5,2,0),99),1,0)</f>
        <v>0</v>
      </c>
      <c r="AB68" s="43">
        <f t="shared" si="11"/>
        <v>0</v>
      </c>
      <c r="AC68" s="44">
        <f>IF(Esiehdot!E$4=IFERROR(VLOOKUP(E68,Valintalistat!D$2:H$7,5,0),99),1,0)</f>
        <v>0</v>
      </c>
      <c r="AD68" s="44">
        <f>IF(Esiehdot!E$5=IFERROR(VLOOKUP(F68,Valintalistat!E$2:H$5,4,0),99),1,0)</f>
        <v>0</v>
      </c>
      <c r="AE68" s="44">
        <f>IF(Esiehdot!E$6=IFERROR(VLOOKUP(G68,Valintalistat!F$2:H$5,3,0),99),1,0)</f>
        <v>0</v>
      </c>
      <c r="AF68" s="44">
        <f>IF(Esiehdot!E$8=IFERROR(VLOOKUP(H68,Valintalistat!G$2:H$3,2,0),98),1,0)</f>
        <v>0</v>
      </c>
      <c r="AG68" s="43">
        <f t="shared" si="12"/>
        <v>0</v>
      </c>
      <c r="AH68" s="43">
        <f>IFERROR(HLOOKUP(Esiehdot!$B$17,Käyttötapauskriteerit!G$1:P68,68,0),1)</f>
        <v>1</v>
      </c>
      <c r="AI68" s="43">
        <f t="shared" si="13"/>
        <v>0</v>
      </c>
      <c r="AJ68" s="43">
        <f t="shared" si="14"/>
        <v>0</v>
      </c>
      <c r="AK68" s="43">
        <f t="shared" si="15"/>
        <v>0</v>
      </c>
      <c r="AL68" s="43">
        <f t="shared" si="16"/>
        <v>0</v>
      </c>
      <c r="AM68" s="43"/>
      <c r="AN68" s="45" t="str">
        <f t="shared" si="17"/>
        <v>Ei ehdoteta hankintaan</v>
      </c>
    </row>
    <row r="69" spans="1:40 16365:16383" s="17" customFormat="1" ht="125.1">
      <c r="A69" s="5" t="s">
        <v>34</v>
      </c>
      <c r="B69" s="5" t="s">
        <v>711</v>
      </c>
      <c r="C69" s="22" t="s">
        <v>712</v>
      </c>
      <c r="D69" s="22"/>
      <c r="E69" s="17" t="s">
        <v>276</v>
      </c>
      <c r="H69" s="17" t="s">
        <v>278</v>
      </c>
      <c r="J69" s="17" t="s">
        <v>511</v>
      </c>
      <c r="K69" s="17" t="s">
        <v>512</v>
      </c>
      <c r="L69" s="32" t="s">
        <v>713</v>
      </c>
      <c r="M69" s="61" t="s">
        <v>714</v>
      </c>
      <c r="N69" s="23"/>
      <c r="O69" s="23"/>
      <c r="P69" s="9" t="s">
        <v>715</v>
      </c>
      <c r="Q69" s="9" t="s">
        <v>716</v>
      </c>
      <c r="R69" s="9" t="s">
        <v>717</v>
      </c>
      <c r="S69" s="9" t="s">
        <v>718</v>
      </c>
      <c r="U69" s="42" t="str">
        <f t="shared" si="9"/>
        <v>FYY-08, L:Salassa pidettävä, E:, S:, TS:Erityinen henkilötietoryhmä</v>
      </c>
      <c r="V69" s="42" t="str">
        <f t="shared" si="10"/>
        <v>Julkri: TEK-16, FYY-02; Katakri: F-08.1</v>
      </c>
      <c r="W69" s="43">
        <f>IFERROR(VLOOKUP(A69,Esiehdot!A$11:D$15,4,0), 0)</f>
        <v>1</v>
      </c>
      <c r="X69" s="44">
        <f>IF(Esiehdot!D$4&gt;=IFERROR(VLOOKUP(E69,Valintalistat!D$2:H$7,5,0), 99),1,0)</f>
        <v>0</v>
      </c>
      <c r="Y69" s="44">
        <f>IF(Esiehdot!D$5&gt;=IFERROR(VLOOKUP(F69,Valintalistat!E$2:H$5,4,0), 99),1,0)</f>
        <v>0</v>
      </c>
      <c r="Z69" s="44">
        <f>IF(Esiehdot!D$6&gt;=IFERROR(VLOOKUP(G69,Valintalistat!F$2:H$5,3,0),99),1,0)</f>
        <v>0</v>
      </c>
      <c r="AA69" s="44">
        <f>IF(Esiehdot!D$8&gt;=IFERROR(VLOOKUP(H69,Valintalistat!G$2:H$5,2,0),99),1,0)</f>
        <v>0</v>
      </c>
      <c r="AB69" s="43">
        <f t="shared" si="11"/>
        <v>0</v>
      </c>
      <c r="AC69" s="44">
        <f>IF(Esiehdot!E$4=IFERROR(VLOOKUP(E69,Valintalistat!D$2:H$7,5,0),99),1,0)</f>
        <v>1</v>
      </c>
      <c r="AD69" s="44">
        <f>IF(Esiehdot!E$5=IFERROR(VLOOKUP(F69,Valintalistat!E$2:H$5,4,0),99),1,0)</f>
        <v>0</v>
      </c>
      <c r="AE69" s="44">
        <f>IF(Esiehdot!E$6=IFERROR(VLOOKUP(G69,Valintalistat!F$2:H$5,3,0),99),1,0)</f>
        <v>0</v>
      </c>
      <c r="AF69" s="44">
        <f>IF(Esiehdot!E$8=IFERROR(VLOOKUP(H69,Valintalistat!G$2:H$3,2,0),98),1,0)</f>
        <v>0</v>
      </c>
      <c r="AG69" s="43">
        <f t="shared" si="12"/>
        <v>1</v>
      </c>
      <c r="AH69" s="43">
        <f>IFERROR(HLOOKUP(Esiehdot!$B$17,Käyttötapauskriteerit!G$1:P69,69,0),1)</f>
        <v>1</v>
      </c>
      <c r="AI69" s="43">
        <f t="shared" si="13"/>
        <v>0</v>
      </c>
      <c r="AJ69" s="43">
        <f t="shared" si="14"/>
        <v>0</v>
      </c>
      <c r="AK69" s="43">
        <f t="shared" si="15"/>
        <v>1</v>
      </c>
      <c r="AL69" s="43">
        <f t="shared" si="16"/>
        <v>0</v>
      </c>
      <c r="AM69" s="43"/>
      <c r="AN69" s="45" t="str">
        <f t="shared" si="17"/>
        <v>Valinnainen</v>
      </c>
    </row>
    <row r="70" spans="1:40 16365:16383" ht="24.95">
      <c r="A70" s="5" t="s">
        <v>34</v>
      </c>
      <c r="B70" s="5" t="s">
        <v>711</v>
      </c>
      <c r="C70" s="22" t="s">
        <v>719</v>
      </c>
      <c r="D70" s="22" t="s">
        <v>712</v>
      </c>
      <c r="E70" s="17" t="s">
        <v>554</v>
      </c>
      <c r="F70" s="17"/>
      <c r="G70" s="17"/>
      <c r="H70" s="17"/>
      <c r="I70" s="17"/>
      <c r="J70" s="17" t="s">
        <v>511</v>
      </c>
      <c r="K70" s="17" t="s">
        <v>512</v>
      </c>
      <c r="L70" s="32" t="s">
        <v>720</v>
      </c>
      <c r="M70" s="61" t="s">
        <v>721</v>
      </c>
      <c r="N70" s="23"/>
      <c r="O70" s="23" t="s">
        <v>722</v>
      </c>
      <c r="P70" s="9" t="s">
        <v>723</v>
      </c>
      <c r="Q70" s="9"/>
      <c r="R70" s="9"/>
      <c r="S70" s="9" t="s">
        <v>718</v>
      </c>
      <c r="U70" s="42" t="str">
        <f t="shared" si="9"/>
        <v>FYY-08.1, L:TL IV, E:, S:, TS:</v>
      </c>
      <c r="V70" s="42" t="str">
        <f t="shared" si="10"/>
        <v>Katakri: F-08.1</v>
      </c>
      <c r="W70" s="43">
        <f>IFERROR(VLOOKUP(A70,Esiehdot!A$11:D$15,4,0), 0)</f>
        <v>1</v>
      </c>
      <c r="X70" s="44">
        <f>IF(Esiehdot!D$4&gt;=IFERROR(VLOOKUP(E70,Valintalistat!D$2:H$7,5,0), 99),1,0)</f>
        <v>0</v>
      </c>
      <c r="Y70" s="44">
        <f>IF(Esiehdot!D$5&gt;=IFERROR(VLOOKUP(F70,Valintalistat!E$2:H$5,4,0), 99),1,0)</f>
        <v>0</v>
      </c>
      <c r="Z70" s="44">
        <f>IF(Esiehdot!D$6&gt;=IFERROR(VLOOKUP(G70,Valintalistat!F$2:H$5,3,0),99),1,0)</f>
        <v>0</v>
      </c>
      <c r="AA70" s="44">
        <f>IF(Esiehdot!D$8&gt;=IFERROR(VLOOKUP(H70,Valintalistat!G$2:H$5,2,0),99),1,0)</f>
        <v>0</v>
      </c>
      <c r="AB70" s="43">
        <f t="shared" si="11"/>
        <v>0</v>
      </c>
      <c r="AC70" s="44">
        <f>IF(Esiehdot!E$4=IFERROR(VLOOKUP(E70,Valintalistat!D$2:H$7,5,0),99),1,0)</f>
        <v>0</v>
      </c>
      <c r="AD70" s="44">
        <f>IF(Esiehdot!E$5=IFERROR(VLOOKUP(F70,Valintalistat!E$2:H$5,4,0),99),1,0)</f>
        <v>0</v>
      </c>
      <c r="AE70" s="44">
        <f>IF(Esiehdot!E$6=IFERROR(VLOOKUP(G70,Valintalistat!F$2:H$5,3,0),99),1,0)</f>
        <v>0</v>
      </c>
      <c r="AF70" s="44">
        <f>IF(Esiehdot!E$8=IFERROR(VLOOKUP(H70,Valintalistat!G$2:H$3,2,0),98),1,0)</f>
        <v>0</v>
      </c>
      <c r="AG70" s="43">
        <f t="shared" si="12"/>
        <v>0</v>
      </c>
      <c r="AH70" s="43">
        <f>IFERROR(HLOOKUP(Esiehdot!$B$17,Käyttötapauskriteerit!G$1:P70,70,0),1)</f>
        <v>1</v>
      </c>
      <c r="AI70" s="43">
        <f t="shared" si="13"/>
        <v>0</v>
      </c>
      <c r="AJ70" s="43">
        <f t="shared" si="14"/>
        <v>0</v>
      </c>
      <c r="AK70" s="43">
        <f t="shared" si="15"/>
        <v>0</v>
      </c>
      <c r="AL70" s="43">
        <f t="shared" si="16"/>
        <v>0</v>
      </c>
      <c r="AM70" s="43"/>
      <c r="AN70" s="45" t="str">
        <f t="shared" si="17"/>
        <v>Ei ehdoteta hankintaan</v>
      </c>
    </row>
    <row r="71" spans="1:40 16365:16383" ht="99.95">
      <c r="A71" s="5" t="s">
        <v>34</v>
      </c>
      <c r="B71" s="5" t="s">
        <v>711</v>
      </c>
      <c r="C71" s="22" t="s">
        <v>724</v>
      </c>
      <c r="D71" s="22" t="s">
        <v>712</v>
      </c>
      <c r="E71" s="17" t="s">
        <v>446</v>
      </c>
      <c r="F71" s="17"/>
      <c r="G71" s="17"/>
      <c r="H71" s="17"/>
      <c r="I71" s="17"/>
      <c r="J71" s="17" t="s">
        <v>511</v>
      </c>
      <c r="K71" s="17" t="s">
        <v>512</v>
      </c>
      <c r="L71" s="32" t="s">
        <v>725</v>
      </c>
      <c r="M71" s="61" t="s">
        <v>726</v>
      </c>
      <c r="N71" s="23"/>
      <c r="O71" s="23" t="s">
        <v>727</v>
      </c>
      <c r="P71" s="9" t="s">
        <v>723</v>
      </c>
      <c r="Q71" s="9"/>
      <c r="R71" s="9"/>
      <c r="S71" s="9" t="s">
        <v>718</v>
      </c>
      <c r="U71" s="42" t="str">
        <f t="shared" si="9"/>
        <v>FYY-08.2, L:TL III, E:, S:, TS:</v>
      </c>
      <c r="V71" s="42" t="str">
        <f t="shared" si="10"/>
        <v>Katakri: F-08.1</v>
      </c>
      <c r="W71" s="43">
        <f>IFERROR(VLOOKUP(A71,Esiehdot!A$11:D$15,4,0), 0)</f>
        <v>1</v>
      </c>
      <c r="X71" s="44">
        <f>IF(Esiehdot!D$4&gt;=IFERROR(VLOOKUP(E71,Valintalistat!D$2:H$7,5,0), 99),1,0)</f>
        <v>0</v>
      </c>
      <c r="Y71" s="44">
        <f>IF(Esiehdot!D$5&gt;=IFERROR(VLOOKUP(F71,Valintalistat!E$2:H$5,4,0), 99),1,0)</f>
        <v>0</v>
      </c>
      <c r="Z71" s="44">
        <f>IF(Esiehdot!D$6&gt;=IFERROR(VLOOKUP(G71,Valintalistat!F$2:H$5,3,0),99),1,0)</f>
        <v>0</v>
      </c>
      <c r="AA71" s="44">
        <f>IF(Esiehdot!D$8&gt;=IFERROR(VLOOKUP(H71,Valintalistat!G$2:H$5,2,0),99),1,0)</f>
        <v>0</v>
      </c>
      <c r="AB71" s="43">
        <f t="shared" si="11"/>
        <v>0</v>
      </c>
      <c r="AC71" s="44">
        <f>IF(Esiehdot!E$4=IFERROR(VLOOKUP(E71,Valintalistat!D$2:H$7,5,0),99),1,0)</f>
        <v>0</v>
      </c>
      <c r="AD71" s="44">
        <f>IF(Esiehdot!E$5=IFERROR(VLOOKUP(F71,Valintalistat!E$2:H$5,4,0),99),1,0)</f>
        <v>0</v>
      </c>
      <c r="AE71" s="44">
        <f>IF(Esiehdot!E$6=IFERROR(VLOOKUP(G71,Valintalistat!F$2:H$5,3,0),99),1,0)</f>
        <v>0</v>
      </c>
      <c r="AF71" s="44">
        <f>IF(Esiehdot!E$8=IFERROR(VLOOKUP(H71,Valintalistat!G$2:H$3,2,0),98),1,0)</f>
        <v>0</v>
      </c>
      <c r="AG71" s="43">
        <f t="shared" si="12"/>
        <v>0</v>
      </c>
      <c r="AH71" s="43">
        <f>IFERROR(HLOOKUP(Esiehdot!$B$17,Käyttötapauskriteerit!G$1:P71,71,0),1)</f>
        <v>1</v>
      </c>
      <c r="AI71" s="43">
        <f t="shared" si="13"/>
        <v>0</v>
      </c>
      <c r="AJ71" s="43">
        <f t="shared" si="14"/>
        <v>0</v>
      </c>
      <c r="AK71" s="43">
        <f t="shared" si="15"/>
        <v>0</v>
      </c>
      <c r="AL71" s="43">
        <f t="shared" si="16"/>
        <v>0</v>
      </c>
      <c r="AM71" s="43"/>
      <c r="AN71" s="45" t="str">
        <f t="shared" si="17"/>
        <v>Ei ehdoteta hankintaan</v>
      </c>
    </row>
    <row r="72" spans="1:40 16365:16383" ht="24.95">
      <c r="A72" s="5" t="s">
        <v>34</v>
      </c>
      <c r="B72" s="5" t="s">
        <v>711</v>
      </c>
      <c r="C72" s="22" t="s">
        <v>728</v>
      </c>
      <c r="D72" s="22" t="s">
        <v>712</v>
      </c>
      <c r="E72" s="17" t="s">
        <v>571</v>
      </c>
      <c r="F72" s="17"/>
      <c r="G72" s="17"/>
      <c r="H72" s="17"/>
      <c r="I72" s="17"/>
      <c r="J72" s="17" t="s">
        <v>511</v>
      </c>
      <c r="K72" s="17" t="s">
        <v>512</v>
      </c>
      <c r="L72" s="32" t="s">
        <v>729</v>
      </c>
      <c r="M72" s="61" t="s">
        <v>721</v>
      </c>
      <c r="N72" s="23"/>
      <c r="O72" s="23" t="s">
        <v>730</v>
      </c>
      <c r="P72" s="9" t="s">
        <v>723</v>
      </c>
      <c r="Q72" s="9"/>
      <c r="R72" s="9"/>
      <c r="S72" s="9" t="s">
        <v>718</v>
      </c>
      <c r="U72" s="42" t="str">
        <f t="shared" si="9"/>
        <v>FYY-08.3, L:TL II, E:, S:, TS:</v>
      </c>
      <c r="V72" s="42" t="str">
        <f t="shared" si="10"/>
        <v>Katakri: F-08.1</v>
      </c>
      <c r="W72" s="43">
        <f>IFERROR(VLOOKUP(A72,Esiehdot!A$11:D$15,4,0), 0)</f>
        <v>1</v>
      </c>
      <c r="X72" s="44">
        <f>IF(Esiehdot!D$4&gt;=IFERROR(VLOOKUP(E72,Valintalistat!D$2:H$7,5,0), 99),1,0)</f>
        <v>0</v>
      </c>
      <c r="Y72" s="44">
        <f>IF(Esiehdot!D$5&gt;=IFERROR(VLOOKUP(F72,Valintalistat!E$2:H$5,4,0), 99),1,0)</f>
        <v>0</v>
      </c>
      <c r="Z72" s="44">
        <f>IF(Esiehdot!D$6&gt;=IFERROR(VLOOKUP(G72,Valintalistat!F$2:H$5,3,0),99),1,0)</f>
        <v>0</v>
      </c>
      <c r="AA72" s="44">
        <f>IF(Esiehdot!D$8&gt;=IFERROR(VLOOKUP(H72,Valintalistat!G$2:H$5,2,0),99),1,0)</f>
        <v>0</v>
      </c>
      <c r="AB72" s="43">
        <f t="shared" si="11"/>
        <v>0</v>
      </c>
      <c r="AC72" s="44">
        <f>IF(Esiehdot!E$4=IFERROR(VLOOKUP(E72,Valintalistat!D$2:H$7,5,0),99),1,0)</f>
        <v>0</v>
      </c>
      <c r="AD72" s="44">
        <f>IF(Esiehdot!E$5=IFERROR(VLOOKUP(F72,Valintalistat!E$2:H$5,4,0),99),1,0)</f>
        <v>0</v>
      </c>
      <c r="AE72" s="44">
        <f>IF(Esiehdot!E$6=IFERROR(VLOOKUP(G72,Valintalistat!F$2:H$5,3,0),99),1,0)</f>
        <v>0</v>
      </c>
      <c r="AF72" s="44">
        <f>IF(Esiehdot!E$8=IFERROR(VLOOKUP(H72,Valintalistat!G$2:H$3,2,0),98),1,0)</f>
        <v>0</v>
      </c>
      <c r="AG72" s="43">
        <f t="shared" si="12"/>
        <v>0</v>
      </c>
      <c r="AH72" s="43">
        <f>IFERROR(HLOOKUP(Esiehdot!$B$17,Käyttötapauskriteerit!G$1:P72,72,0),1)</f>
        <v>1</v>
      </c>
      <c r="AI72" s="43">
        <f t="shared" si="13"/>
        <v>0</v>
      </c>
      <c r="AJ72" s="43">
        <f t="shared" si="14"/>
        <v>0</v>
      </c>
      <c r="AK72" s="43">
        <f t="shared" si="15"/>
        <v>0</v>
      </c>
      <c r="AL72" s="43">
        <f t="shared" si="16"/>
        <v>0</v>
      </c>
      <c r="AM72" s="43"/>
      <c r="AN72" s="45" t="str">
        <f t="shared" si="17"/>
        <v>Ei ehdoteta hankintaan</v>
      </c>
    </row>
    <row r="73" spans="1:40 16365:16383" ht="37.5">
      <c r="A73" s="5" t="s">
        <v>34</v>
      </c>
      <c r="B73" s="5" t="s">
        <v>711</v>
      </c>
      <c r="C73" s="22" t="s">
        <v>731</v>
      </c>
      <c r="E73" s="17" t="s">
        <v>276</v>
      </c>
      <c r="F73" s="17"/>
      <c r="G73" s="17"/>
      <c r="H73" s="17" t="s">
        <v>278</v>
      </c>
      <c r="I73" s="17"/>
      <c r="J73" s="17" t="s">
        <v>511</v>
      </c>
      <c r="K73" s="17" t="s">
        <v>512</v>
      </c>
      <c r="L73" s="32" t="s">
        <v>732</v>
      </c>
      <c r="M73" s="61" t="s">
        <v>733</v>
      </c>
      <c r="N73" s="23" t="s">
        <v>734</v>
      </c>
      <c r="O73" s="23" t="s">
        <v>735</v>
      </c>
      <c r="P73" s="9" t="s">
        <v>736</v>
      </c>
      <c r="Q73" s="9" t="s">
        <v>737</v>
      </c>
      <c r="R73" s="9"/>
      <c r="S73" s="9" t="s">
        <v>738</v>
      </c>
      <c r="U73" s="42" t="str">
        <f t="shared" si="9"/>
        <v>FYY-09, L:Salassa pidettävä, E:, S:, TS:Erityinen henkilötietoryhmä</v>
      </c>
      <c r="V73" s="42" t="str">
        <f t="shared" si="10"/>
        <v>Katakri: F-08.2</v>
      </c>
      <c r="W73" s="43">
        <f>IFERROR(VLOOKUP(A73,Esiehdot!A$11:D$15,4,0), 0)</f>
        <v>1</v>
      </c>
      <c r="X73" s="44">
        <f>IF(Esiehdot!D$4&gt;=IFERROR(VLOOKUP(E73,Valintalistat!D$2:H$7,5,0), 99),1,0)</f>
        <v>0</v>
      </c>
      <c r="Y73" s="44">
        <f>IF(Esiehdot!D$5&gt;=IFERROR(VLOOKUP(F73,Valintalistat!E$2:H$5,4,0), 99),1,0)</f>
        <v>0</v>
      </c>
      <c r="Z73" s="44">
        <f>IF(Esiehdot!D$6&gt;=IFERROR(VLOOKUP(G73,Valintalistat!F$2:H$5,3,0),99),1,0)</f>
        <v>0</v>
      </c>
      <c r="AA73" s="44">
        <f>IF(Esiehdot!D$8&gt;=IFERROR(VLOOKUP(H73,Valintalistat!G$2:H$5,2,0),99),1,0)</f>
        <v>0</v>
      </c>
      <c r="AB73" s="43">
        <f t="shared" si="11"/>
        <v>0</v>
      </c>
      <c r="AC73" s="44">
        <f>IF(Esiehdot!E$4=IFERROR(VLOOKUP(E73,Valintalistat!D$2:H$7,5,0),99),1,0)</f>
        <v>1</v>
      </c>
      <c r="AD73" s="44">
        <f>IF(Esiehdot!E$5=IFERROR(VLOOKUP(F73,Valintalistat!E$2:H$5,4,0),99),1,0)</f>
        <v>0</v>
      </c>
      <c r="AE73" s="44">
        <f>IF(Esiehdot!E$6=IFERROR(VLOOKUP(G73,Valintalistat!F$2:H$5,3,0),99),1,0)</f>
        <v>0</v>
      </c>
      <c r="AF73" s="44">
        <f>IF(Esiehdot!E$8=IFERROR(VLOOKUP(H73,Valintalistat!G$2:H$3,2,0),98),1,0)</f>
        <v>0</v>
      </c>
      <c r="AG73" s="43">
        <f t="shared" si="12"/>
        <v>1</v>
      </c>
      <c r="AH73" s="43">
        <f>IFERROR(HLOOKUP(Esiehdot!$B$17,Käyttötapauskriteerit!G$1:P73,73,0),1)</f>
        <v>1</v>
      </c>
      <c r="AI73" s="43">
        <f t="shared" si="13"/>
        <v>0</v>
      </c>
      <c r="AJ73" s="43">
        <f t="shared" si="14"/>
        <v>0</v>
      </c>
      <c r="AK73" s="43">
        <f t="shared" si="15"/>
        <v>1</v>
      </c>
      <c r="AL73" s="43">
        <f t="shared" si="16"/>
        <v>0</v>
      </c>
      <c r="AM73" s="43"/>
      <c r="AN73" s="45" t="str">
        <f t="shared" si="17"/>
        <v>Valinnainen</v>
      </c>
    </row>
    <row r="74" spans="1:40 16365:16383" ht="62.45">
      <c r="A74" s="5" t="s">
        <v>34</v>
      </c>
      <c r="B74" s="5" t="s">
        <v>711</v>
      </c>
      <c r="C74" s="22" t="s">
        <v>739</v>
      </c>
      <c r="D74" s="22" t="s">
        <v>731</v>
      </c>
      <c r="E74" s="17" t="s">
        <v>571</v>
      </c>
      <c r="F74" s="17"/>
      <c r="G74" s="17"/>
      <c r="H74" s="17"/>
      <c r="I74" s="17"/>
      <c r="J74" s="17" t="s">
        <v>511</v>
      </c>
      <c r="K74" s="17" t="s">
        <v>512</v>
      </c>
      <c r="L74" s="32" t="s">
        <v>740</v>
      </c>
      <c r="M74" s="61" t="s">
        <v>741</v>
      </c>
      <c r="N74" s="23"/>
      <c r="O74" s="23" t="s">
        <v>742</v>
      </c>
      <c r="P74" s="9" t="s">
        <v>743</v>
      </c>
      <c r="Q74" s="9"/>
      <c r="R74" s="9"/>
      <c r="S74" s="9" t="s">
        <v>738</v>
      </c>
      <c r="U74" s="42" t="str">
        <f t="shared" si="9"/>
        <v>FYY-09.1, L:TL II, E:, S:, TS:</v>
      </c>
      <c r="V74" s="42" t="str">
        <f t="shared" si="10"/>
        <v>Katakri: F-08.2</v>
      </c>
      <c r="W74" s="43">
        <f>IFERROR(VLOOKUP(A74,Esiehdot!A$11:D$15,4,0), 0)</f>
        <v>1</v>
      </c>
      <c r="X74" s="44">
        <f>IF(Esiehdot!D$4&gt;=IFERROR(VLOOKUP(E74,Valintalistat!D$2:H$7,5,0), 99),1,0)</f>
        <v>0</v>
      </c>
      <c r="Y74" s="44">
        <f>IF(Esiehdot!D$5&gt;=IFERROR(VLOOKUP(F74,Valintalistat!E$2:H$5,4,0), 99),1,0)</f>
        <v>0</v>
      </c>
      <c r="Z74" s="44">
        <f>IF(Esiehdot!D$6&gt;=IFERROR(VLOOKUP(G74,Valintalistat!F$2:H$5,3,0),99),1,0)</f>
        <v>0</v>
      </c>
      <c r="AA74" s="44">
        <f>IF(Esiehdot!D$8&gt;=IFERROR(VLOOKUP(H74,Valintalistat!G$2:H$5,2,0),99),1,0)</f>
        <v>0</v>
      </c>
      <c r="AB74" s="43">
        <f t="shared" si="11"/>
        <v>0</v>
      </c>
      <c r="AC74" s="44">
        <f>IF(Esiehdot!E$4=IFERROR(VLOOKUP(E74,Valintalistat!D$2:H$7,5,0),99),1,0)</f>
        <v>0</v>
      </c>
      <c r="AD74" s="44">
        <f>IF(Esiehdot!E$5=IFERROR(VLOOKUP(F74,Valintalistat!E$2:H$5,4,0),99),1,0)</f>
        <v>0</v>
      </c>
      <c r="AE74" s="44">
        <f>IF(Esiehdot!E$6=IFERROR(VLOOKUP(G74,Valintalistat!F$2:H$5,3,0),99),1,0)</f>
        <v>0</v>
      </c>
      <c r="AF74" s="44">
        <f>IF(Esiehdot!E$8=IFERROR(VLOOKUP(H74,Valintalistat!G$2:H$3,2,0),98),1,0)</f>
        <v>0</v>
      </c>
      <c r="AG74" s="43">
        <f t="shared" si="12"/>
        <v>0</v>
      </c>
      <c r="AH74" s="43">
        <f>IFERROR(HLOOKUP(Esiehdot!$B$17,Käyttötapauskriteerit!G$1:P74,74,0),1)</f>
        <v>1</v>
      </c>
      <c r="AI74" s="43">
        <f t="shared" si="13"/>
        <v>0</v>
      </c>
      <c r="AJ74" s="43">
        <f t="shared" si="14"/>
        <v>0</v>
      </c>
      <c r="AK74" s="43">
        <f t="shared" si="15"/>
        <v>0</v>
      </c>
      <c r="AL74" s="43">
        <f t="shared" si="16"/>
        <v>0</v>
      </c>
      <c r="AM74" s="43"/>
      <c r="AN74" s="45" t="str">
        <f t="shared" si="17"/>
        <v>Ei ehdoteta hankintaan</v>
      </c>
    </row>
    <row r="75" spans="1:40 16365:16383" ht="125.1">
      <c r="A75" s="5" t="s">
        <v>34</v>
      </c>
      <c r="B75" s="5" t="s">
        <v>711</v>
      </c>
      <c r="C75" s="22" t="s">
        <v>744</v>
      </c>
      <c r="E75" s="17" t="s">
        <v>446</v>
      </c>
      <c r="F75" s="17"/>
      <c r="G75" s="17"/>
      <c r="H75" s="17"/>
      <c r="I75" s="17"/>
      <c r="J75" s="17" t="s">
        <v>511</v>
      </c>
      <c r="K75" s="17" t="s">
        <v>512</v>
      </c>
      <c r="L75" s="32" t="s">
        <v>745</v>
      </c>
      <c r="M75" s="61" t="s">
        <v>746</v>
      </c>
      <c r="N75" s="23" t="s">
        <v>747</v>
      </c>
      <c r="O75" s="23"/>
      <c r="P75" s="9" t="s">
        <v>748</v>
      </c>
      <c r="Q75" s="9" t="s">
        <v>749</v>
      </c>
      <c r="R75" s="9"/>
      <c r="S75" s="9" t="s">
        <v>750</v>
      </c>
      <c r="U75" s="42" t="str">
        <f t="shared" si="9"/>
        <v>FYY-10, L:TL III, E:, S:, TS:</v>
      </c>
      <c r="V75" s="42" t="str">
        <f t="shared" si="10"/>
        <v>Katakri: F-08.3</v>
      </c>
      <c r="W75" s="43">
        <f>IFERROR(VLOOKUP(A75,Esiehdot!A$11:D$15,4,0), 0)</f>
        <v>1</v>
      </c>
      <c r="X75" s="44">
        <f>IF(Esiehdot!D$4&gt;=IFERROR(VLOOKUP(E75,Valintalistat!D$2:H$7,5,0), 99),1,0)</f>
        <v>0</v>
      </c>
      <c r="Y75" s="44">
        <f>IF(Esiehdot!D$5&gt;=IFERROR(VLOOKUP(F75,Valintalistat!E$2:H$5,4,0), 99),1,0)</f>
        <v>0</v>
      </c>
      <c r="Z75" s="44">
        <f>IF(Esiehdot!D$6&gt;=IFERROR(VLOOKUP(G75,Valintalistat!F$2:H$5,3,0),99),1,0)</f>
        <v>0</v>
      </c>
      <c r="AA75" s="44">
        <f>IF(Esiehdot!D$8&gt;=IFERROR(VLOOKUP(H75,Valintalistat!G$2:H$5,2,0),99),1,0)</f>
        <v>0</v>
      </c>
      <c r="AB75" s="43">
        <f t="shared" si="11"/>
        <v>0</v>
      </c>
      <c r="AC75" s="44">
        <f>IF(Esiehdot!E$4=IFERROR(VLOOKUP(E75,Valintalistat!D$2:H$7,5,0),99),1,0)</f>
        <v>0</v>
      </c>
      <c r="AD75" s="44">
        <f>IF(Esiehdot!E$5=IFERROR(VLOOKUP(F75,Valintalistat!E$2:H$5,4,0),99),1,0)</f>
        <v>0</v>
      </c>
      <c r="AE75" s="44">
        <f>IF(Esiehdot!E$6=IFERROR(VLOOKUP(G75,Valintalistat!F$2:H$5,3,0),99),1,0)</f>
        <v>0</v>
      </c>
      <c r="AF75" s="44">
        <f>IF(Esiehdot!E$8=IFERROR(VLOOKUP(H75,Valintalistat!G$2:H$3,2,0),98),1,0)</f>
        <v>0</v>
      </c>
      <c r="AG75" s="43">
        <f t="shared" si="12"/>
        <v>0</v>
      </c>
      <c r="AH75" s="43">
        <f>IFERROR(HLOOKUP(Esiehdot!$B$17,Käyttötapauskriteerit!G$1:P75,75,0),1)</f>
        <v>1</v>
      </c>
      <c r="AI75" s="43">
        <f t="shared" si="13"/>
        <v>0</v>
      </c>
      <c r="AJ75" s="43">
        <f t="shared" si="14"/>
        <v>0</v>
      </c>
      <c r="AK75" s="43">
        <f t="shared" si="15"/>
        <v>0</v>
      </c>
      <c r="AL75" s="43">
        <f t="shared" si="16"/>
        <v>0</v>
      </c>
      <c r="AM75" s="43"/>
      <c r="AN75" s="45" t="str">
        <f t="shared" si="17"/>
        <v>Ei ehdoteta hankintaan</v>
      </c>
    </row>
    <row r="76" spans="1:40 16365:16383" ht="62.45">
      <c r="A76" s="5" t="s">
        <v>34</v>
      </c>
      <c r="B76" s="5" t="s">
        <v>711</v>
      </c>
      <c r="C76" s="22" t="s">
        <v>751</v>
      </c>
      <c r="E76" s="17" t="s">
        <v>276</v>
      </c>
      <c r="F76" s="17"/>
      <c r="G76" s="17"/>
      <c r="H76" s="17" t="s">
        <v>278</v>
      </c>
      <c r="I76" s="17"/>
      <c r="J76" s="17" t="s">
        <v>511</v>
      </c>
      <c r="K76" s="17" t="s">
        <v>512</v>
      </c>
      <c r="L76" s="32" t="s">
        <v>752</v>
      </c>
      <c r="M76" s="61" t="s">
        <v>753</v>
      </c>
      <c r="N76" s="23" t="s">
        <v>754</v>
      </c>
      <c r="O76" s="23"/>
      <c r="P76" s="9" t="s">
        <v>755</v>
      </c>
      <c r="Q76" s="9" t="s">
        <v>756</v>
      </c>
      <c r="R76" s="9" t="s">
        <v>757</v>
      </c>
      <c r="S76" s="9" t="s">
        <v>758</v>
      </c>
      <c r="U76" s="42" t="str">
        <f t="shared" si="9"/>
        <v>FYY-11, L:Salassa pidettävä, E:, S:, TS:Erityinen henkilötietoryhmä</v>
      </c>
      <c r="V76" s="46" t="str">
        <f t="shared" si="10"/>
        <v>Julkri: TEK-21; Katakri: F-08.4</v>
      </c>
      <c r="W76" s="46">
        <f>IFERROR(VLOOKUP(A76,Esiehdot!A$11:D$15,4,0), 0)</f>
        <v>1</v>
      </c>
      <c r="X76" s="46">
        <f>IF(Esiehdot!D$4&gt;=IFERROR(VLOOKUP(E76,Valintalistat!D$2:H$7,5,0), 99),1,0)</f>
        <v>0</v>
      </c>
      <c r="Y76" s="46">
        <f>IF(Esiehdot!D$5&gt;=IFERROR(VLOOKUP(F76,Valintalistat!E$2:H$5,4,0), 99),1,0)</f>
        <v>0</v>
      </c>
      <c r="Z76" s="46">
        <f>IF(Esiehdot!D$6&gt;=IFERROR(VLOOKUP(G76,Valintalistat!F$2:H$5,3,0),99),1,0)</f>
        <v>0</v>
      </c>
      <c r="AA76" s="46">
        <f>IF(Esiehdot!D$8&gt;=IFERROR(VLOOKUP(H76,Valintalistat!G$2:H$5,2,0),99),1,0)</f>
        <v>0</v>
      </c>
      <c r="AB76" s="46">
        <f t="shared" si="11"/>
        <v>0</v>
      </c>
      <c r="AC76" s="46">
        <f>IF(Esiehdot!E$4=IFERROR(VLOOKUP(E76,Valintalistat!D$2:H$7,5,0),99),1,0)</f>
        <v>1</v>
      </c>
      <c r="AD76" s="46">
        <f>IF(Esiehdot!E$5=IFERROR(VLOOKUP(F76,Valintalistat!E$2:H$5,4,0),99),1,0)</f>
        <v>0</v>
      </c>
      <c r="AE76" s="46">
        <f>IF(Esiehdot!E$6=IFERROR(VLOOKUP(G76,Valintalistat!F$2:H$5,3,0),99),1,0)</f>
        <v>0</v>
      </c>
      <c r="AF76" s="46">
        <f>IF(Esiehdot!E$8=IFERROR(VLOOKUP(H76,Valintalistat!G$2:H$3,2,0),98),1,0)</f>
        <v>0</v>
      </c>
      <c r="AG76" s="46">
        <f t="shared" si="12"/>
        <v>1</v>
      </c>
      <c r="AH76" s="46">
        <f>IFERROR(HLOOKUP(Esiehdot!$B$17,Käyttötapauskriteerit!G$1:P76,76,0),1)</f>
        <v>1</v>
      </c>
      <c r="AI76" s="46">
        <f t="shared" si="13"/>
        <v>0</v>
      </c>
      <c r="AJ76" s="46">
        <f t="shared" si="14"/>
        <v>0</v>
      </c>
      <c r="AK76" s="46">
        <f t="shared" si="15"/>
        <v>1</v>
      </c>
      <c r="AL76" s="46">
        <f t="shared" si="16"/>
        <v>0</v>
      </c>
      <c r="AM76" s="46"/>
      <c r="AN76" s="45" t="str">
        <f t="shared" si="17"/>
        <v>Valinnainen</v>
      </c>
      <c r="XEK76" s="5"/>
      <c r="XEL76" s="5"/>
      <c r="XEM76" s="22"/>
      <c r="XEN76" s="22"/>
      <c r="XEO76" s="17"/>
      <c r="XEP76" s="17"/>
      <c r="XEQ76" s="17"/>
      <c r="XER76" s="17"/>
      <c r="XES76" s="17"/>
      <c r="XET76" s="17"/>
      <c r="XEU76" s="17"/>
      <c r="XEV76" s="32"/>
      <c r="XEW76" s="23"/>
      <c r="XEX76" s="23"/>
      <c r="XEY76" s="23"/>
      <c r="XEZ76" s="9"/>
      <c r="XFA76" s="9"/>
      <c r="XFB76" s="9"/>
      <c r="XFC76" s="9"/>
    </row>
    <row r="77" spans="1:40 16365:16383" ht="24.95">
      <c r="A77" s="5" t="s">
        <v>34</v>
      </c>
      <c r="B77" s="5" t="s">
        <v>711</v>
      </c>
      <c r="C77" s="22" t="s">
        <v>759</v>
      </c>
      <c r="D77" s="22" t="s">
        <v>751</v>
      </c>
      <c r="E77" s="17" t="s">
        <v>554</v>
      </c>
      <c r="F77" s="17"/>
      <c r="G77" s="17"/>
      <c r="H77" s="17"/>
      <c r="I77" s="17"/>
      <c r="J77" s="17" t="s">
        <v>511</v>
      </c>
      <c r="K77" s="17" t="s">
        <v>512</v>
      </c>
      <c r="L77" s="32" t="s">
        <v>760</v>
      </c>
      <c r="M77" s="61" t="s">
        <v>721</v>
      </c>
      <c r="N77" s="23"/>
      <c r="O77" s="23" t="s">
        <v>761</v>
      </c>
      <c r="P77" s="9" t="s">
        <v>762</v>
      </c>
      <c r="Q77" s="9"/>
      <c r="R77" s="9"/>
      <c r="S77" s="9" t="s">
        <v>758</v>
      </c>
      <c r="U77" s="42" t="str">
        <f t="shared" si="9"/>
        <v>FYY-11.1, L:TL IV, E:, S:, TS:</v>
      </c>
      <c r="V77" s="42" t="str">
        <f t="shared" si="10"/>
        <v>Katakri: F-08.4</v>
      </c>
      <c r="W77" s="43">
        <f>IFERROR(VLOOKUP(A77,Esiehdot!A$11:D$15,4,0), 0)</f>
        <v>1</v>
      </c>
      <c r="X77" s="44">
        <f>IF(Esiehdot!D$4&gt;=IFERROR(VLOOKUP(E77,Valintalistat!D$2:H$7,5,0), 99),1,0)</f>
        <v>0</v>
      </c>
      <c r="Y77" s="44">
        <f>IF(Esiehdot!D$5&gt;=IFERROR(VLOOKUP(F77,Valintalistat!E$2:H$5,4,0), 99),1,0)</f>
        <v>0</v>
      </c>
      <c r="Z77" s="44">
        <f>IF(Esiehdot!D$6&gt;=IFERROR(VLOOKUP(G77,Valintalistat!F$2:H$5,3,0),99),1,0)</f>
        <v>0</v>
      </c>
      <c r="AA77" s="44">
        <f>IF(Esiehdot!D$8&gt;=IFERROR(VLOOKUP(H77,Valintalistat!G$2:H$5,2,0),99),1,0)</f>
        <v>0</v>
      </c>
      <c r="AB77" s="43">
        <f t="shared" si="11"/>
        <v>0</v>
      </c>
      <c r="AC77" s="44">
        <f>IF(Esiehdot!E$4=IFERROR(VLOOKUP(E77,Valintalistat!D$2:H$7,5,0),99),1,0)</f>
        <v>0</v>
      </c>
      <c r="AD77" s="44">
        <f>IF(Esiehdot!E$5=IFERROR(VLOOKUP(F77,Valintalistat!E$2:H$5,4,0),99),1,0)</f>
        <v>0</v>
      </c>
      <c r="AE77" s="44">
        <f>IF(Esiehdot!E$6=IFERROR(VLOOKUP(G77,Valintalistat!F$2:H$5,3,0),99),1,0)</f>
        <v>0</v>
      </c>
      <c r="AF77" s="44">
        <f>IF(Esiehdot!E$8=IFERROR(VLOOKUP(H77,Valintalistat!G$2:H$3,2,0),98),1,0)</f>
        <v>0</v>
      </c>
      <c r="AG77" s="43">
        <f t="shared" si="12"/>
        <v>0</v>
      </c>
      <c r="AH77" s="43">
        <f>IFERROR(HLOOKUP(Esiehdot!$B$17,Käyttötapauskriteerit!G$1:P77,77,0),1)</f>
        <v>1</v>
      </c>
      <c r="AI77" s="43">
        <f t="shared" si="13"/>
        <v>0</v>
      </c>
      <c r="AJ77" s="43">
        <f t="shared" si="14"/>
        <v>0</v>
      </c>
      <c r="AK77" s="43">
        <f t="shared" si="15"/>
        <v>0</v>
      </c>
      <c r="AL77" s="43">
        <f t="shared" si="16"/>
        <v>0</v>
      </c>
      <c r="AM77" s="43"/>
      <c r="AN77" s="45" t="str">
        <f t="shared" si="17"/>
        <v>Ei ehdoteta hankintaan</v>
      </c>
    </row>
    <row r="78" spans="1:40 16365:16383" ht="24.95">
      <c r="A78" s="5" t="s">
        <v>34</v>
      </c>
      <c r="B78" s="5" t="s">
        <v>711</v>
      </c>
      <c r="C78" s="22" t="s">
        <v>763</v>
      </c>
      <c r="D78" s="22" t="s">
        <v>751</v>
      </c>
      <c r="E78" s="17" t="s">
        <v>446</v>
      </c>
      <c r="F78" s="17"/>
      <c r="G78" s="17"/>
      <c r="H78" s="17"/>
      <c r="I78" s="17"/>
      <c r="J78" s="17" t="s">
        <v>511</v>
      </c>
      <c r="K78" s="17" t="s">
        <v>512</v>
      </c>
      <c r="L78" s="32" t="s">
        <v>764</v>
      </c>
      <c r="M78" s="61" t="s">
        <v>721</v>
      </c>
      <c r="N78" s="23"/>
      <c r="O78" s="23" t="s">
        <v>765</v>
      </c>
      <c r="P78" s="9" t="s">
        <v>762</v>
      </c>
      <c r="Q78" s="9"/>
      <c r="R78" s="9"/>
      <c r="S78" s="9" t="s">
        <v>758</v>
      </c>
      <c r="U78" s="42" t="str">
        <f t="shared" si="9"/>
        <v>FYY-11.2, L:TL III, E:, S:, TS:</v>
      </c>
      <c r="V78" s="42" t="str">
        <f t="shared" si="10"/>
        <v>Katakri: F-08.4</v>
      </c>
      <c r="W78" s="43">
        <f>IFERROR(VLOOKUP(A78,Esiehdot!A$11:D$15,4,0), 0)</f>
        <v>1</v>
      </c>
      <c r="X78" s="44">
        <f>IF(Esiehdot!D$4&gt;=IFERROR(VLOOKUP(E78,Valintalistat!D$2:H$7,5,0), 99),1,0)</f>
        <v>0</v>
      </c>
      <c r="Y78" s="44">
        <f>IF(Esiehdot!D$5&gt;=IFERROR(VLOOKUP(F78,Valintalistat!E$2:H$5,4,0), 99),1,0)</f>
        <v>0</v>
      </c>
      <c r="Z78" s="44">
        <f>IF(Esiehdot!D$6&gt;=IFERROR(VLOOKUP(G78,Valintalistat!F$2:H$5,3,0),99),1,0)</f>
        <v>0</v>
      </c>
      <c r="AA78" s="44">
        <f>IF(Esiehdot!D$8&gt;=IFERROR(VLOOKUP(H78,Valintalistat!G$2:H$5,2,0),99),1,0)</f>
        <v>0</v>
      </c>
      <c r="AB78" s="43">
        <f t="shared" si="11"/>
        <v>0</v>
      </c>
      <c r="AC78" s="44">
        <f>IF(Esiehdot!E$4=IFERROR(VLOOKUP(E78,Valintalistat!D$2:H$7,5,0),99),1,0)</f>
        <v>0</v>
      </c>
      <c r="AD78" s="44">
        <f>IF(Esiehdot!E$5=IFERROR(VLOOKUP(F78,Valintalistat!E$2:H$5,4,0),99),1,0)</f>
        <v>0</v>
      </c>
      <c r="AE78" s="44">
        <f>IF(Esiehdot!E$6=IFERROR(VLOOKUP(G78,Valintalistat!F$2:H$5,3,0),99),1,0)</f>
        <v>0</v>
      </c>
      <c r="AF78" s="44">
        <f>IF(Esiehdot!E$8=IFERROR(VLOOKUP(H78,Valintalistat!G$2:H$3,2,0),98),1,0)</f>
        <v>0</v>
      </c>
      <c r="AG78" s="43">
        <f t="shared" si="12"/>
        <v>0</v>
      </c>
      <c r="AH78" s="43">
        <f>IFERROR(HLOOKUP(Esiehdot!$B$17,Käyttötapauskriteerit!G$1:P78,78,0),1)</f>
        <v>1</v>
      </c>
      <c r="AI78" s="43">
        <f t="shared" si="13"/>
        <v>0</v>
      </c>
      <c r="AJ78" s="43">
        <f t="shared" si="14"/>
        <v>0</v>
      </c>
      <c r="AK78" s="43">
        <f t="shared" si="15"/>
        <v>0</v>
      </c>
      <c r="AL78" s="43">
        <f t="shared" si="16"/>
        <v>0</v>
      </c>
      <c r="AM78" s="43"/>
      <c r="AN78" s="45" t="str">
        <f t="shared" si="17"/>
        <v>Ei ehdoteta hankintaan</v>
      </c>
    </row>
    <row r="79" spans="1:40 16365:16383" ht="112.5">
      <c r="A79" s="5" t="s">
        <v>34</v>
      </c>
      <c r="B79" s="5" t="s">
        <v>711</v>
      </c>
      <c r="C79" s="22" t="s">
        <v>766</v>
      </c>
      <c r="D79" s="22" t="s">
        <v>751</v>
      </c>
      <c r="E79" s="17" t="s">
        <v>571</v>
      </c>
      <c r="F79" s="17"/>
      <c r="G79" s="17"/>
      <c r="H79" s="17"/>
      <c r="I79" s="17"/>
      <c r="J79" s="17" t="s">
        <v>511</v>
      </c>
      <c r="K79" s="17" t="s">
        <v>512</v>
      </c>
      <c r="L79" s="32" t="s">
        <v>767</v>
      </c>
      <c r="M79" s="61" t="s">
        <v>768</v>
      </c>
      <c r="N79" s="23"/>
      <c r="O79" s="23" t="s">
        <v>769</v>
      </c>
      <c r="P79" s="9" t="s">
        <v>770</v>
      </c>
      <c r="Q79" s="9"/>
      <c r="R79" s="9"/>
      <c r="S79" s="9" t="s">
        <v>758</v>
      </c>
      <c r="U79" s="42" t="str">
        <f t="shared" si="9"/>
        <v>FYY-11.3, L:TL II, E:, S:, TS:</v>
      </c>
      <c r="V79" s="42" t="str">
        <f t="shared" si="10"/>
        <v>Katakri: F-08.4</v>
      </c>
      <c r="W79" s="43">
        <f>IFERROR(VLOOKUP(A79,Esiehdot!A$11:D$15,4,0), 0)</f>
        <v>1</v>
      </c>
      <c r="X79" s="44">
        <f>IF(Esiehdot!D$4&gt;=IFERROR(VLOOKUP(E79,Valintalistat!D$2:H$7,5,0), 99),1,0)</f>
        <v>0</v>
      </c>
      <c r="Y79" s="44">
        <f>IF(Esiehdot!D$5&gt;=IFERROR(VLOOKUP(F79,Valintalistat!E$2:H$5,4,0), 99),1,0)</f>
        <v>0</v>
      </c>
      <c r="Z79" s="44">
        <f>IF(Esiehdot!D$6&gt;=IFERROR(VLOOKUP(G79,Valintalistat!F$2:H$5,3,0),99),1,0)</f>
        <v>0</v>
      </c>
      <c r="AA79" s="44">
        <f>IF(Esiehdot!D$8&gt;=IFERROR(VLOOKUP(H79,Valintalistat!G$2:H$5,2,0),99),1,0)</f>
        <v>0</v>
      </c>
      <c r="AB79" s="43">
        <f t="shared" si="11"/>
        <v>0</v>
      </c>
      <c r="AC79" s="44">
        <f>IF(Esiehdot!E$4=IFERROR(VLOOKUP(E79,Valintalistat!D$2:H$7,5,0),99),1,0)</f>
        <v>0</v>
      </c>
      <c r="AD79" s="44">
        <f>IF(Esiehdot!E$5=IFERROR(VLOOKUP(F79,Valintalistat!E$2:H$5,4,0),99),1,0)</f>
        <v>0</v>
      </c>
      <c r="AE79" s="44">
        <f>IF(Esiehdot!E$6=IFERROR(VLOOKUP(G79,Valintalistat!F$2:H$5,3,0),99),1,0)</f>
        <v>0</v>
      </c>
      <c r="AF79" s="44">
        <f>IF(Esiehdot!E$8=IFERROR(VLOOKUP(H79,Valintalistat!G$2:H$3,2,0),98),1,0)</f>
        <v>0</v>
      </c>
      <c r="AG79" s="43">
        <f t="shared" si="12"/>
        <v>0</v>
      </c>
      <c r="AH79" s="43">
        <f>IFERROR(HLOOKUP(Esiehdot!$B$17,Käyttötapauskriteerit!G$1:P79,79,0),1)</f>
        <v>1</v>
      </c>
      <c r="AI79" s="43">
        <f t="shared" si="13"/>
        <v>0</v>
      </c>
      <c r="AJ79" s="43">
        <f t="shared" si="14"/>
        <v>0</v>
      </c>
      <c r="AK79" s="43">
        <f t="shared" si="15"/>
        <v>0</v>
      </c>
      <c r="AL79" s="43">
        <f t="shared" si="16"/>
        <v>0</v>
      </c>
      <c r="AM79" s="43"/>
      <c r="AN79" s="45" t="str">
        <f t="shared" si="17"/>
        <v>Ei ehdoteta hankintaan</v>
      </c>
    </row>
    <row r="80" spans="1:40 16365:16383" ht="50.1">
      <c r="A80" s="5" t="s">
        <v>35</v>
      </c>
      <c r="B80" s="5" t="s">
        <v>771</v>
      </c>
      <c r="C80" s="22" t="s">
        <v>772</v>
      </c>
      <c r="E80" s="17" t="s">
        <v>276</v>
      </c>
      <c r="F80" s="17"/>
      <c r="G80" s="17"/>
      <c r="H80" s="17" t="s">
        <v>278</v>
      </c>
      <c r="I80" s="17"/>
      <c r="J80" s="17" t="s">
        <v>511</v>
      </c>
      <c r="K80" s="17" t="s">
        <v>773</v>
      </c>
      <c r="L80" s="32" t="s">
        <v>774</v>
      </c>
      <c r="M80" s="61" t="s">
        <v>775</v>
      </c>
      <c r="N80" s="23" t="s">
        <v>776</v>
      </c>
      <c r="O80" s="23"/>
      <c r="P80" s="9" t="s">
        <v>777</v>
      </c>
      <c r="Q80" s="9" t="s">
        <v>778</v>
      </c>
      <c r="R80" s="9"/>
      <c r="S80" s="9" t="s">
        <v>779</v>
      </c>
      <c r="U80" s="42" t="str">
        <f t="shared" si="9"/>
        <v>TEK-01, L:Salassa pidettävä, E:, S:, TS:Erityinen henkilötietoryhmä</v>
      </c>
      <c r="V80" s="42" t="str">
        <f t="shared" si="10"/>
        <v>Katakri: I-01</v>
      </c>
      <c r="W80" s="43">
        <f>IFERROR(VLOOKUP(A80,Esiehdot!A$11:D$15,4,0), 0)</f>
        <v>1</v>
      </c>
      <c r="X80" s="44">
        <f>IF(Esiehdot!D$4&gt;=IFERROR(VLOOKUP(E80,Valintalistat!D$2:H$7,5,0), 99),1,0)</f>
        <v>0</v>
      </c>
      <c r="Y80" s="44">
        <f>IF(Esiehdot!D$5&gt;=IFERROR(VLOOKUP(F80,Valintalistat!E$2:H$5,4,0), 99),1,0)</f>
        <v>0</v>
      </c>
      <c r="Z80" s="44">
        <f>IF(Esiehdot!D$6&gt;=IFERROR(VLOOKUP(G80,Valintalistat!F$2:H$5,3,0),99),1,0)</f>
        <v>0</v>
      </c>
      <c r="AA80" s="44">
        <f>IF(Esiehdot!D$8&gt;=IFERROR(VLOOKUP(H80,Valintalistat!G$2:H$5,2,0),99),1,0)</f>
        <v>0</v>
      </c>
      <c r="AB80" s="43">
        <f t="shared" si="11"/>
        <v>0</v>
      </c>
      <c r="AC80" s="44">
        <f>IF(Esiehdot!E$4=IFERROR(VLOOKUP(E80,Valintalistat!D$2:H$7,5,0),99),1,0)</f>
        <v>1</v>
      </c>
      <c r="AD80" s="44">
        <f>IF(Esiehdot!E$5=IFERROR(VLOOKUP(F80,Valintalistat!E$2:H$5,4,0),99),1,0)</f>
        <v>0</v>
      </c>
      <c r="AE80" s="44">
        <f>IF(Esiehdot!E$6=IFERROR(VLOOKUP(G80,Valintalistat!F$2:H$5,3,0),99),1,0)</f>
        <v>0</v>
      </c>
      <c r="AF80" s="44">
        <f>IF(Esiehdot!E$8=IFERROR(VLOOKUP(H80,Valintalistat!G$2:H$3,2,0),98),1,0)</f>
        <v>0</v>
      </c>
      <c r="AG80" s="43">
        <f t="shared" si="12"/>
        <v>1</v>
      </c>
      <c r="AH80" s="43">
        <f>IFERROR(HLOOKUP(Esiehdot!$B$17,Käyttötapauskriteerit!G$1:P80,80,0),1)</f>
        <v>1</v>
      </c>
      <c r="AI80" s="43">
        <f t="shared" si="13"/>
        <v>0</v>
      </c>
      <c r="AJ80" s="43">
        <f t="shared" si="14"/>
        <v>0</v>
      </c>
      <c r="AK80" s="43">
        <f t="shared" si="15"/>
        <v>1</v>
      </c>
      <c r="AL80" s="43">
        <f t="shared" si="16"/>
        <v>0</v>
      </c>
      <c r="AM80" s="43"/>
      <c r="AN80" s="45" t="str">
        <f t="shared" si="17"/>
        <v>Valinnainen</v>
      </c>
    </row>
    <row r="81" spans="1:40 16305:16383" s="24" customFormat="1" ht="99.95">
      <c r="A81" s="5" t="s">
        <v>35</v>
      </c>
      <c r="B81" s="5" t="s">
        <v>771</v>
      </c>
      <c r="C81" s="22" t="s">
        <v>780</v>
      </c>
      <c r="D81" s="22" t="s">
        <v>772</v>
      </c>
      <c r="E81" s="17" t="s">
        <v>276</v>
      </c>
      <c r="F81" s="17" t="s">
        <v>406</v>
      </c>
      <c r="G81" s="17"/>
      <c r="H81" s="17" t="s">
        <v>260</v>
      </c>
      <c r="I81" s="17"/>
      <c r="J81" s="17" t="s">
        <v>781</v>
      </c>
      <c r="K81" s="17" t="s">
        <v>773</v>
      </c>
      <c r="L81" s="32" t="s">
        <v>782</v>
      </c>
      <c r="M81" s="61" t="s">
        <v>783</v>
      </c>
      <c r="N81" s="23" t="s">
        <v>784</v>
      </c>
      <c r="O81" s="23"/>
      <c r="P81" s="9" t="s">
        <v>785</v>
      </c>
      <c r="Q81" s="9" t="s">
        <v>786</v>
      </c>
      <c r="R81" s="9" t="s">
        <v>787</v>
      </c>
      <c r="S81" s="9" t="s">
        <v>788</v>
      </c>
      <c r="U81" s="42" t="str">
        <f t="shared" si="9"/>
        <v>TEK-01.1, L:Salassa pidettävä, E:Kriittinen, S:, TS:Henkilötieto</v>
      </c>
      <c r="V81" s="47" t="str">
        <f t="shared" si="10"/>
        <v>Julkri: FYY-7.1; Katakri: I-01, I-12, I-15</v>
      </c>
      <c r="W81" s="47">
        <f>IFERROR(VLOOKUP(A81,Esiehdot!A$11:D$15,4,0), 0)</f>
        <v>1</v>
      </c>
      <c r="X81" s="47">
        <f>IF(Esiehdot!D$4&gt;=IFERROR(VLOOKUP(E81,Valintalistat!D$2:H$7,5,0), 99),1,0)</f>
        <v>0</v>
      </c>
      <c r="Y81" s="47">
        <f>IF(Esiehdot!D$5&gt;=IFERROR(VLOOKUP(F81,Valintalistat!E$2:H$5,4,0), 99),1,0)</f>
        <v>0</v>
      </c>
      <c r="Z81" s="47">
        <f>IF(Esiehdot!D$6&gt;=IFERROR(VLOOKUP(G81,Valintalistat!F$2:H$5,3,0),99),1,0)</f>
        <v>0</v>
      </c>
      <c r="AA81" s="47">
        <f>IF(Esiehdot!D$8&gt;=IFERROR(VLOOKUP(H81,Valintalistat!G$2:H$5,2,0),99),1,0)</f>
        <v>0</v>
      </c>
      <c r="AB81" s="47">
        <f t="shared" si="11"/>
        <v>0</v>
      </c>
      <c r="AC81" s="47">
        <f>IF(Esiehdot!E$4=IFERROR(VLOOKUP(E81,Valintalistat!D$2:H$7,5,0),99),1,0)</f>
        <v>1</v>
      </c>
      <c r="AD81" s="47">
        <f>IF(Esiehdot!E$5=IFERROR(VLOOKUP(F81,Valintalistat!E$2:H$5,4,0),99),1,0)</f>
        <v>0</v>
      </c>
      <c r="AE81" s="47">
        <f>IF(Esiehdot!E$6=IFERROR(VLOOKUP(G81,Valintalistat!F$2:H$5,3,0),99),1,0)</f>
        <v>0</v>
      </c>
      <c r="AF81" s="47">
        <f>IF(Esiehdot!E$8=IFERROR(VLOOKUP(H81,Valintalistat!G$2:H$3,2,0),98),1,0)</f>
        <v>0</v>
      </c>
      <c r="AG81" s="47">
        <f t="shared" si="12"/>
        <v>1</v>
      </c>
      <c r="AH81" s="47">
        <f>IFERROR(HLOOKUP(Esiehdot!$B$17,Käyttötapauskriteerit!G$1:P81,81,0),1)</f>
        <v>1</v>
      </c>
      <c r="AI81" s="47">
        <f t="shared" si="13"/>
        <v>0</v>
      </c>
      <c r="AJ81" s="47">
        <f t="shared" si="14"/>
        <v>0</v>
      </c>
      <c r="AK81" s="47">
        <f t="shared" si="15"/>
        <v>1</v>
      </c>
      <c r="AL81" s="47">
        <f t="shared" si="16"/>
        <v>0</v>
      </c>
      <c r="AM81" s="47"/>
      <c r="AN81" s="45" t="str">
        <f t="shared" si="17"/>
        <v>Valinnainen</v>
      </c>
      <c r="XCC81" s="5"/>
      <c r="XCD81" s="5"/>
      <c r="XCE81" s="22"/>
      <c r="XCF81" s="22"/>
      <c r="XCG81" s="17"/>
      <c r="XCH81" s="17"/>
      <c r="XCI81" s="17"/>
      <c r="XCJ81" s="17"/>
      <c r="XCK81" s="17"/>
      <c r="XCL81" s="17"/>
      <c r="XCM81" s="17"/>
      <c r="XCN81" s="32"/>
      <c r="XCO81" s="23"/>
      <c r="XCP81" s="23"/>
      <c r="XCQ81" s="23"/>
      <c r="XCR81" s="9"/>
      <c r="XCS81" s="9"/>
      <c r="XCT81" s="9"/>
      <c r="XCU81" s="9"/>
      <c r="XCW81" s="5"/>
      <c r="XCX81" s="5"/>
      <c r="XCY81" s="22"/>
      <c r="XCZ81" s="22"/>
      <c r="XDA81" s="17"/>
      <c r="XDB81" s="17"/>
      <c r="XDC81" s="17"/>
      <c r="XDD81" s="17"/>
      <c r="XDE81" s="17"/>
      <c r="XDF81" s="17"/>
      <c r="XDG81" s="17"/>
      <c r="XDH81" s="32"/>
      <c r="XDI81" s="23"/>
      <c r="XDJ81" s="23"/>
      <c r="XDK81" s="23"/>
      <c r="XDL81" s="9"/>
      <c r="XDM81" s="9"/>
      <c r="XDN81" s="9"/>
      <c r="XDO81" s="9"/>
      <c r="XDQ81" s="5"/>
      <c r="XDR81" s="5"/>
      <c r="XDS81" s="22"/>
      <c r="XDT81" s="22"/>
      <c r="XDU81" s="17"/>
      <c r="XDV81" s="17"/>
      <c r="XDW81" s="17"/>
      <c r="XDX81" s="17"/>
      <c r="XDY81" s="17"/>
      <c r="XDZ81" s="17"/>
      <c r="XEA81" s="17"/>
      <c r="XEB81" s="32"/>
      <c r="XEC81" s="23"/>
      <c r="XED81" s="23"/>
      <c r="XEE81" s="23"/>
      <c r="XEF81" s="9"/>
      <c r="XEG81" s="9"/>
      <c r="XEH81" s="9"/>
      <c r="XEI81" s="9"/>
      <c r="XEK81" s="5"/>
      <c r="XEL81" s="5"/>
      <c r="XEM81" s="22"/>
      <c r="XEN81" s="22"/>
      <c r="XEO81" s="17"/>
      <c r="XEP81" s="17"/>
      <c r="XEQ81" s="17"/>
      <c r="XER81" s="17"/>
      <c r="XES81" s="17"/>
      <c r="XET81" s="17"/>
      <c r="XEU81" s="17"/>
      <c r="XEV81" s="32"/>
      <c r="XEW81" s="23"/>
      <c r="XEX81" s="23"/>
      <c r="XEY81" s="23"/>
      <c r="XEZ81" s="9"/>
      <c r="XFA81" s="9"/>
      <c r="XFB81" s="9"/>
      <c r="XFC81" s="9"/>
    </row>
    <row r="82" spans="1:40 16305:16383" s="24" customFormat="1" ht="50.1">
      <c r="A82" s="5" t="s">
        <v>35</v>
      </c>
      <c r="B82" s="5" t="s">
        <v>771</v>
      </c>
      <c r="C82" s="22" t="s">
        <v>789</v>
      </c>
      <c r="D82" s="22" t="s">
        <v>772</v>
      </c>
      <c r="E82" s="17" t="s">
        <v>276</v>
      </c>
      <c r="F82" s="17" t="s">
        <v>277</v>
      </c>
      <c r="G82" s="17"/>
      <c r="H82" s="17" t="s">
        <v>278</v>
      </c>
      <c r="I82" s="17"/>
      <c r="J82" s="17" t="s">
        <v>511</v>
      </c>
      <c r="K82" s="17" t="s">
        <v>773</v>
      </c>
      <c r="L82" s="32" t="s">
        <v>790</v>
      </c>
      <c r="M82" s="61" t="s">
        <v>791</v>
      </c>
      <c r="N82" s="23"/>
      <c r="O82" s="23"/>
      <c r="P82" s="9" t="s">
        <v>792</v>
      </c>
      <c r="Q82" s="9" t="s">
        <v>793</v>
      </c>
      <c r="R82" s="9"/>
      <c r="S82" s="9" t="s">
        <v>779</v>
      </c>
      <c r="U82" s="42" t="str">
        <f t="shared" si="9"/>
        <v>TEK-01.2, L:Salassa pidettävä, E:Tärkeä, S:, TS:Erityinen henkilötietoryhmä</v>
      </c>
      <c r="V82" s="42" t="str">
        <f t="shared" si="10"/>
        <v>Katakri: I-01</v>
      </c>
      <c r="W82" s="43">
        <f>IFERROR(VLOOKUP(A82,Esiehdot!A$11:D$15,4,0), 0)</f>
        <v>1</v>
      </c>
      <c r="X82" s="44">
        <f>IF(Esiehdot!D$4&gt;=IFERROR(VLOOKUP(E82,Valintalistat!D$2:H$7,5,0), 99),1,0)</f>
        <v>0</v>
      </c>
      <c r="Y82" s="44">
        <f>IF(Esiehdot!D$5&gt;=IFERROR(VLOOKUP(F82,Valintalistat!E$2:H$5,4,0), 99),1,0)</f>
        <v>0</v>
      </c>
      <c r="Z82" s="44">
        <f>IF(Esiehdot!D$6&gt;=IFERROR(VLOOKUP(G82,Valintalistat!F$2:H$5,3,0),99),1,0)</f>
        <v>0</v>
      </c>
      <c r="AA82" s="44">
        <f>IF(Esiehdot!D$8&gt;=IFERROR(VLOOKUP(H82,Valintalistat!G$2:H$5,2,0),99),1,0)</f>
        <v>0</v>
      </c>
      <c r="AB82" s="43">
        <f t="shared" si="11"/>
        <v>0</v>
      </c>
      <c r="AC82" s="44">
        <f>IF(Esiehdot!E$4=IFERROR(VLOOKUP(E82,Valintalistat!D$2:H$7,5,0),99),1,0)</f>
        <v>1</v>
      </c>
      <c r="AD82" s="44">
        <f>IF(Esiehdot!E$5=IFERROR(VLOOKUP(F82,Valintalistat!E$2:H$5,4,0),99),1,0)</f>
        <v>0</v>
      </c>
      <c r="AE82" s="44">
        <f>IF(Esiehdot!E$6=IFERROR(VLOOKUP(G82,Valintalistat!F$2:H$5,3,0),99),1,0)</f>
        <v>0</v>
      </c>
      <c r="AF82" s="44">
        <f>IF(Esiehdot!E$8=IFERROR(VLOOKUP(H82,Valintalistat!G$2:H$3,2,0),98),1,0)</f>
        <v>0</v>
      </c>
      <c r="AG82" s="43">
        <f t="shared" si="12"/>
        <v>1</v>
      </c>
      <c r="AH82" s="43">
        <f>IFERROR(HLOOKUP(Esiehdot!$B$17,Käyttötapauskriteerit!G$1:P82,82,0),1)</f>
        <v>1</v>
      </c>
      <c r="AI82" s="43">
        <f t="shared" si="13"/>
        <v>0</v>
      </c>
      <c r="AJ82" s="43">
        <f t="shared" si="14"/>
        <v>0</v>
      </c>
      <c r="AK82" s="43">
        <f t="shared" si="15"/>
        <v>1</v>
      </c>
      <c r="AL82" s="43">
        <f t="shared" si="16"/>
        <v>0</v>
      </c>
      <c r="AM82" s="43"/>
      <c r="AN82" s="45" t="str">
        <f t="shared" si="17"/>
        <v>Valinnainen</v>
      </c>
    </row>
    <row r="83" spans="1:40 16305:16383" s="24" customFormat="1" ht="37.5">
      <c r="A83" s="5" t="s">
        <v>35</v>
      </c>
      <c r="B83" s="5" t="s">
        <v>771</v>
      </c>
      <c r="C83" s="22" t="s">
        <v>794</v>
      </c>
      <c r="D83" s="22" t="s">
        <v>772</v>
      </c>
      <c r="E83" s="17" t="s">
        <v>554</v>
      </c>
      <c r="F83" s="17"/>
      <c r="G83" s="17"/>
      <c r="H83" s="17"/>
      <c r="I83" s="17"/>
      <c r="J83" s="17" t="s">
        <v>511</v>
      </c>
      <c r="K83" s="17" t="s">
        <v>773</v>
      </c>
      <c r="L83" s="32" t="s">
        <v>795</v>
      </c>
      <c r="M83" s="61" t="s">
        <v>796</v>
      </c>
      <c r="N83" s="23"/>
      <c r="O83" s="23" t="s">
        <v>797</v>
      </c>
      <c r="P83" s="9" t="s">
        <v>798</v>
      </c>
      <c r="Q83" s="9"/>
      <c r="R83" s="9"/>
      <c r="S83" s="9" t="s">
        <v>799</v>
      </c>
      <c r="U83" s="42" t="str">
        <f t="shared" si="9"/>
        <v>TEK-01.3, L:TL IV, E:, S:, TS:</v>
      </c>
      <c r="V83" s="47" t="str">
        <f t="shared" si="10"/>
        <v>Katakri: I-01, I-06, I-08, I-11, I-19</v>
      </c>
      <c r="W83" s="47">
        <f>IFERROR(VLOOKUP(A83,Esiehdot!A$11:D$15,4,0), 0)</f>
        <v>1</v>
      </c>
      <c r="X83" s="47">
        <f>IF(Esiehdot!D$4&gt;=IFERROR(VLOOKUP(E83,Valintalistat!D$2:H$7,5,0), 99),1,0)</f>
        <v>0</v>
      </c>
      <c r="Y83" s="47">
        <f>IF(Esiehdot!D$5&gt;=IFERROR(VLOOKUP(F83,Valintalistat!E$2:H$5,4,0), 99),1,0)</f>
        <v>0</v>
      </c>
      <c r="Z83" s="47">
        <f>IF(Esiehdot!D$6&gt;=IFERROR(VLOOKUP(G83,Valintalistat!F$2:H$5,3,0),99),1,0)</f>
        <v>0</v>
      </c>
      <c r="AA83" s="47">
        <f>IF(Esiehdot!D$8&gt;=IFERROR(VLOOKUP(H83,Valintalistat!G$2:H$5,2,0),99),1,0)</f>
        <v>0</v>
      </c>
      <c r="AB83" s="47">
        <f t="shared" si="11"/>
        <v>0</v>
      </c>
      <c r="AC83" s="47">
        <f>IF(Esiehdot!E$4=IFERROR(VLOOKUP(E83,Valintalistat!D$2:H$7,5,0),99),1,0)</f>
        <v>0</v>
      </c>
      <c r="AD83" s="47">
        <f>IF(Esiehdot!E$5=IFERROR(VLOOKUP(F83,Valintalistat!E$2:H$5,4,0),99),1,0)</f>
        <v>0</v>
      </c>
      <c r="AE83" s="47">
        <f>IF(Esiehdot!E$6=IFERROR(VLOOKUP(G83,Valintalistat!F$2:H$5,3,0),99),1,0)</f>
        <v>0</v>
      </c>
      <c r="AF83" s="47">
        <f>IF(Esiehdot!E$8=IFERROR(VLOOKUP(H83,Valintalistat!G$2:H$3,2,0),98),1,0)</f>
        <v>0</v>
      </c>
      <c r="AG83" s="47">
        <f t="shared" si="12"/>
        <v>0</v>
      </c>
      <c r="AH83" s="47">
        <f>IFERROR(HLOOKUP(Esiehdot!$B$17,Käyttötapauskriteerit!G$1:P83,83,0),1)</f>
        <v>1</v>
      </c>
      <c r="AI83" s="47">
        <f t="shared" si="13"/>
        <v>0</v>
      </c>
      <c r="AJ83" s="47">
        <f t="shared" si="14"/>
        <v>0</v>
      </c>
      <c r="AK83" s="47">
        <f t="shared" si="15"/>
        <v>0</v>
      </c>
      <c r="AL83" s="47">
        <f t="shared" si="16"/>
        <v>0</v>
      </c>
      <c r="AM83" s="47"/>
      <c r="AN83" s="45" t="str">
        <f t="shared" si="17"/>
        <v>Ei ehdoteta hankintaan</v>
      </c>
      <c r="XEK83" s="5"/>
      <c r="XEL83" s="5"/>
      <c r="XEM83" s="22"/>
      <c r="XEN83" s="22"/>
      <c r="XEO83" s="17"/>
      <c r="XEP83" s="17"/>
      <c r="XEQ83" s="17"/>
      <c r="XER83" s="17"/>
      <c r="XES83" s="17"/>
      <c r="XET83" s="17"/>
      <c r="XEU83" s="17"/>
      <c r="XEV83" s="32"/>
      <c r="XEW83" s="23"/>
      <c r="XEX83" s="23"/>
      <c r="XEY83" s="23"/>
      <c r="XEZ83" s="9"/>
      <c r="XFA83" s="9"/>
      <c r="XFB83" s="9"/>
      <c r="XFC83" s="9"/>
    </row>
    <row r="84" spans="1:40 16305:16383" s="24" customFormat="1" ht="37.5">
      <c r="A84" s="5" t="s">
        <v>35</v>
      </c>
      <c r="B84" s="5" t="s">
        <v>771</v>
      </c>
      <c r="C84" s="22" t="s">
        <v>800</v>
      </c>
      <c r="D84" s="22" t="s">
        <v>772</v>
      </c>
      <c r="E84" s="17" t="s">
        <v>554</v>
      </c>
      <c r="F84" s="17"/>
      <c r="G84" s="17"/>
      <c r="H84" s="17"/>
      <c r="I84" s="17"/>
      <c r="J84" s="17" t="s">
        <v>511</v>
      </c>
      <c r="K84" s="17" t="s">
        <v>773</v>
      </c>
      <c r="L84" s="32" t="s">
        <v>801</v>
      </c>
      <c r="M84" s="61" t="s">
        <v>802</v>
      </c>
      <c r="N84" s="23"/>
      <c r="O84" s="23"/>
      <c r="P84" s="9" t="s">
        <v>803</v>
      </c>
      <c r="Q84" s="9"/>
      <c r="R84" s="9"/>
      <c r="S84" s="9" t="s">
        <v>779</v>
      </c>
      <c r="U84" s="42" t="str">
        <f t="shared" si="9"/>
        <v>TEK-01.4, L:TL IV, E:, S:, TS:</v>
      </c>
      <c r="V84" s="42" t="str">
        <f t="shared" si="10"/>
        <v>Katakri: I-01</v>
      </c>
      <c r="W84" s="43">
        <f>IFERROR(VLOOKUP(A84,Esiehdot!A$11:D$15,4,0), 0)</f>
        <v>1</v>
      </c>
      <c r="X84" s="44">
        <f>IF(Esiehdot!D$4&gt;=IFERROR(VLOOKUP(E84,Valintalistat!D$2:H$7,5,0), 99),1,0)</f>
        <v>0</v>
      </c>
      <c r="Y84" s="44">
        <f>IF(Esiehdot!D$5&gt;=IFERROR(VLOOKUP(F84,Valintalistat!E$2:H$5,4,0), 99),1,0)</f>
        <v>0</v>
      </c>
      <c r="Z84" s="44">
        <f>IF(Esiehdot!D$6&gt;=IFERROR(VLOOKUP(G84,Valintalistat!F$2:H$5,3,0),99),1,0)</f>
        <v>0</v>
      </c>
      <c r="AA84" s="44">
        <f>IF(Esiehdot!D$8&gt;=IFERROR(VLOOKUP(H84,Valintalistat!G$2:H$5,2,0),99),1,0)</f>
        <v>0</v>
      </c>
      <c r="AB84" s="43">
        <f t="shared" si="11"/>
        <v>0</v>
      </c>
      <c r="AC84" s="44">
        <f>IF(Esiehdot!E$4=IFERROR(VLOOKUP(E84,Valintalistat!D$2:H$7,5,0),99),1,0)</f>
        <v>0</v>
      </c>
      <c r="AD84" s="44">
        <f>IF(Esiehdot!E$5=IFERROR(VLOOKUP(F84,Valintalistat!E$2:H$5,4,0),99),1,0)</f>
        <v>0</v>
      </c>
      <c r="AE84" s="44">
        <f>IF(Esiehdot!E$6=IFERROR(VLOOKUP(G84,Valintalistat!F$2:H$5,3,0),99),1,0)</f>
        <v>0</v>
      </c>
      <c r="AF84" s="44">
        <f>IF(Esiehdot!E$8=IFERROR(VLOOKUP(H84,Valintalistat!G$2:H$3,2,0),98),1,0)</f>
        <v>0</v>
      </c>
      <c r="AG84" s="43">
        <f t="shared" si="12"/>
        <v>0</v>
      </c>
      <c r="AH84" s="43">
        <f>IFERROR(HLOOKUP(Esiehdot!$B$17,Käyttötapauskriteerit!G$1:P84,84,0),1)</f>
        <v>1</v>
      </c>
      <c r="AI84" s="43">
        <f t="shared" si="13"/>
        <v>0</v>
      </c>
      <c r="AJ84" s="43">
        <f t="shared" si="14"/>
        <v>0</v>
      </c>
      <c r="AK84" s="43">
        <f t="shared" si="15"/>
        <v>0</v>
      </c>
      <c r="AL84" s="43">
        <f t="shared" si="16"/>
        <v>0</v>
      </c>
      <c r="AM84" s="43"/>
      <c r="AN84" s="45" t="str">
        <f t="shared" si="17"/>
        <v>Ei ehdoteta hankintaan</v>
      </c>
    </row>
    <row r="85" spans="1:40 16305:16383" s="24" customFormat="1" ht="62.45">
      <c r="A85" s="5" t="s">
        <v>35</v>
      </c>
      <c r="B85" s="5" t="s">
        <v>771</v>
      </c>
      <c r="C85" s="22" t="s">
        <v>804</v>
      </c>
      <c r="D85" s="22" t="s">
        <v>772</v>
      </c>
      <c r="E85" s="17" t="s">
        <v>446</v>
      </c>
      <c r="F85" s="17"/>
      <c r="G85" s="17"/>
      <c r="H85" s="17"/>
      <c r="I85" s="17"/>
      <c r="J85" s="17" t="s">
        <v>511</v>
      </c>
      <c r="K85" s="17" t="s">
        <v>773</v>
      </c>
      <c r="L85" s="32" t="s">
        <v>805</v>
      </c>
      <c r="M85" s="61" t="s">
        <v>806</v>
      </c>
      <c r="N85" s="23" t="s">
        <v>807</v>
      </c>
      <c r="O85" s="23" t="s">
        <v>808</v>
      </c>
      <c r="P85" s="9" t="s">
        <v>809</v>
      </c>
      <c r="Q85" s="9"/>
      <c r="R85" s="9" t="s">
        <v>810</v>
      </c>
      <c r="S85" s="9" t="s">
        <v>779</v>
      </c>
      <c r="U85" s="42" t="str">
        <f t="shared" si="9"/>
        <v>TEK-01.5, L:TL III, E:, S:, TS:</v>
      </c>
      <c r="V85" s="42" t="str">
        <f t="shared" si="10"/>
        <v>Julkri: TEK-04; Katakri: I-01</v>
      </c>
      <c r="W85" s="43">
        <f>IFERROR(VLOOKUP(A85,Esiehdot!A$11:D$15,4,0), 0)</f>
        <v>1</v>
      </c>
      <c r="X85" s="44">
        <f>IF(Esiehdot!D$4&gt;=IFERROR(VLOOKUP(E85,Valintalistat!D$2:H$7,5,0), 99),1,0)</f>
        <v>0</v>
      </c>
      <c r="Y85" s="44">
        <f>IF(Esiehdot!D$5&gt;=IFERROR(VLOOKUP(F85,Valintalistat!E$2:H$5,4,0), 99),1,0)</f>
        <v>0</v>
      </c>
      <c r="Z85" s="44">
        <f>IF(Esiehdot!D$6&gt;=IFERROR(VLOOKUP(G85,Valintalistat!F$2:H$5,3,0),99),1,0)</f>
        <v>0</v>
      </c>
      <c r="AA85" s="44">
        <f>IF(Esiehdot!D$8&gt;=IFERROR(VLOOKUP(H85,Valintalistat!G$2:H$5,2,0),99),1,0)</f>
        <v>0</v>
      </c>
      <c r="AB85" s="43">
        <f t="shared" si="11"/>
        <v>0</v>
      </c>
      <c r="AC85" s="44">
        <f>IF(Esiehdot!E$4=IFERROR(VLOOKUP(E85,Valintalistat!D$2:H$7,5,0),99),1,0)</f>
        <v>0</v>
      </c>
      <c r="AD85" s="44">
        <f>IF(Esiehdot!E$5=IFERROR(VLOOKUP(F85,Valintalistat!E$2:H$5,4,0),99),1,0)</f>
        <v>0</v>
      </c>
      <c r="AE85" s="44">
        <f>IF(Esiehdot!E$6=IFERROR(VLOOKUP(G85,Valintalistat!F$2:H$5,3,0),99),1,0)</f>
        <v>0</v>
      </c>
      <c r="AF85" s="44">
        <f>IF(Esiehdot!E$8=IFERROR(VLOOKUP(H85,Valintalistat!G$2:H$3,2,0),98),1,0)</f>
        <v>0</v>
      </c>
      <c r="AG85" s="43">
        <f t="shared" si="12"/>
        <v>0</v>
      </c>
      <c r="AH85" s="43">
        <f>IFERROR(HLOOKUP(Esiehdot!$B$17,Käyttötapauskriteerit!G$1:P85,85,0),1)</f>
        <v>1</v>
      </c>
      <c r="AI85" s="43">
        <f t="shared" si="13"/>
        <v>0</v>
      </c>
      <c r="AJ85" s="43">
        <f t="shared" si="14"/>
        <v>0</v>
      </c>
      <c r="AK85" s="43">
        <f t="shared" si="15"/>
        <v>0</v>
      </c>
      <c r="AL85" s="43">
        <f t="shared" si="16"/>
        <v>0</v>
      </c>
      <c r="AM85" s="43"/>
      <c r="AN85" s="45" t="str">
        <f t="shared" si="17"/>
        <v>Ei ehdoteta hankintaan</v>
      </c>
    </row>
    <row r="86" spans="1:40 16305:16383" s="24" customFormat="1" ht="37.5">
      <c r="A86" s="5" t="s">
        <v>35</v>
      </c>
      <c r="B86" s="5" t="s">
        <v>771</v>
      </c>
      <c r="C86" s="22" t="s">
        <v>811</v>
      </c>
      <c r="D86" s="22" t="s">
        <v>772</v>
      </c>
      <c r="E86" s="17" t="s">
        <v>571</v>
      </c>
      <c r="F86" s="17"/>
      <c r="G86" s="17"/>
      <c r="H86" s="17"/>
      <c r="I86" s="17"/>
      <c r="J86" s="17" t="s">
        <v>511</v>
      </c>
      <c r="K86" s="17" t="s">
        <v>773</v>
      </c>
      <c r="L86" s="32" t="s">
        <v>812</v>
      </c>
      <c r="M86" s="61" t="s">
        <v>813</v>
      </c>
      <c r="N86" s="23"/>
      <c r="O86" s="23" t="s">
        <v>814</v>
      </c>
      <c r="P86" s="9" t="s">
        <v>815</v>
      </c>
      <c r="Q86" s="9"/>
      <c r="R86" s="9"/>
      <c r="S86" s="9" t="s">
        <v>779</v>
      </c>
      <c r="U86" s="42" t="str">
        <f t="shared" si="9"/>
        <v>TEK-01.6, L:TL II, E:, S:, TS:</v>
      </c>
      <c r="V86" s="42" t="str">
        <f t="shared" si="10"/>
        <v>Katakri: I-01</v>
      </c>
      <c r="W86" s="43">
        <f>IFERROR(VLOOKUP(A86,Esiehdot!A$11:D$15,4,0), 0)</f>
        <v>1</v>
      </c>
      <c r="X86" s="44">
        <f>IF(Esiehdot!D$4&gt;=IFERROR(VLOOKUP(E86,Valintalistat!D$2:H$7,5,0), 99),1,0)</f>
        <v>0</v>
      </c>
      <c r="Y86" s="44">
        <f>IF(Esiehdot!D$5&gt;=IFERROR(VLOOKUP(F86,Valintalistat!E$2:H$5,4,0), 99),1,0)</f>
        <v>0</v>
      </c>
      <c r="Z86" s="44">
        <f>IF(Esiehdot!D$6&gt;=IFERROR(VLOOKUP(G86,Valintalistat!F$2:H$5,3,0),99),1,0)</f>
        <v>0</v>
      </c>
      <c r="AA86" s="44">
        <f>IF(Esiehdot!D$8&gt;=IFERROR(VLOOKUP(H86,Valintalistat!G$2:H$5,2,0),99),1,0)</f>
        <v>0</v>
      </c>
      <c r="AB86" s="43">
        <f t="shared" si="11"/>
        <v>0</v>
      </c>
      <c r="AC86" s="44">
        <f>IF(Esiehdot!E$4=IFERROR(VLOOKUP(E86,Valintalistat!D$2:H$7,5,0),99),1,0)</f>
        <v>0</v>
      </c>
      <c r="AD86" s="44">
        <f>IF(Esiehdot!E$5=IFERROR(VLOOKUP(F86,Valintalistat!E$2:H$5,4,0),99),1,0)</f>
        <v>0</v>
      </c>
      <c r="AE86" s="44">
        <f>IF(Esiehdot!E$6=IFERROR(VLOOKUP(G86,Valintalistat!F$2:H$5,3,0),99),1,0)</f>
        <v>0</v>
      </c>
      <c r="AF86" s="44">
        <f>IF(Esiehdot!E$8=IFERROR(VLOOKUP(H86,Valintalistat!G$2:H$3,2,0),98),1,0)</f>
        <v>0</v>
      </c>
      <c r="AG86" s="43">
        <f t="shared" si="12"/>
        <v>0</v>
      </c>
      <c r="AH86" s="43">
        <f>IFERROR(HLOOKUP(Esiehdot!$B$17,Käyttötapauskriteerit!G$1:P86,86,0),1)</f>
        <v>1</v>
      </c>
      <c r="AI86" s="43">
        <f t="shared" si="13"/>
        <v>0</v>
      </c>
      <c r="AJ86" s="43">
        <f t="shared" si="14"/>
        <v>0</v>
      </c>
      <c r="AK86" s="43">
        <f t="shared" si="15"/>
        <v>0</v>
      </c>
      <c r="AL86" s="43">
        <f t="shared" si="16"/>
        <v>0</v>
      </c>
      <c r="AM86" s="43"/>
      <c r="AN86" s="45" t="str">
        <f t="shared" si="17"/>
        <v>Ei ehdoteta hankintaan</v>
      </c>
    </row>
    <row r="87" spans="1:40 16305:16383" s="24" customFormat="1" ht="24.95">
      <c r="A87" s="5" t="s">
        <v>35</v>
      </c>
      <c r="B87" s="5" t="s">
        <v>771</v>
      </c>
      <c r="C87" s="22" t="s">
        <v>816</v>
      </c>
      <c r="D87" s="22" t="s">
        <v>772</v>
      </c>
      <c r="E87" s="17" t="s">
        <v>543</v>
      </c>
      <c r="F87" s="17"/>
      <c r="G87" s="17"/>
      <c r="H87" s="17"/>
      <c r="I87" s="17"/>
      <c r="J87" s="17" t="s">
        <v>511</v>
      </c>
      <c r="K87" s="17" t="s">
        <v>773</v>
      </c>
      <c r="L87" s="32" t="s">
        <v>817</v>
      </c>
      <c r="M87" s="61" t="s">
        <v>721</v>
      </c>
      <c r="N87" s="23"/>
      <c r="O87" s="23" t="s">
        <v>818</v>
      </c>
      <c r="P87" s="9" t="s">
        <v>815</v>
      </c>
      <c r="Q87" s="9"/>
      <c r="R87" s="9"/>
      <c r="S87" s="9" t="s">
        <v>779</v>
      </c>
      <c r="U87" s="42" t="str">
        <f t="shared" si="9"/>
        <v>TEK-01.7, L:TL I, E:, S:, TS:</v>
      </c>
      <c r="V87" s="47" t="str">
        <f t="shared" si="10"/>
        <v>Katakri: I-01</v>
      </c>
      <c r="W87" s="47">
        <f>IFERROR(VLOOKUP(A87,Esiehdot!A$11:D$15,4,0), 0)</f>
        <v>1</v>
      </c>
      <c r="X87" s="47">
        <f>IF(Esiehdot!D$4&gt;=IFERROR(VLOOKUP(E87,Valintalistat!D$2:H$7,5,0), 99),1,0)</f>
        <v>0</v>
      </c>
      <c r="Y87" s="47">
        <f>IF(Esiehdot!D$5&gt;=IFERROR(VLOOKUP(F87,Valintalistat!E$2:H$5,4,0), 99),1,0)</f>
        <v>0</v>
      </c>
      <c r="Z87" s="47">
        <f>IF(Esiehdot!D$6&gt;=IFERROR(VLOOKUP(G87,Valintalistat!F$2:H$5,3,0),99),1,0)</f>
        <v>0</v>
      </c>
      <c r="AA87" s="47">
        <f>IF(Esiehdot!D$8&gt;=IFERROR(VLOOKUP(H87,Valintalistat!G$2:H$5,2,0),99),1,0)</f>
        <v>0</v>
      </c>
      <c r="AB87" s="47">
        <f t="shared" si="11"/>
        <v>0</v>
      </c>
      <c r="AC87" s="47">
        <f>IF(Esiehdot!E$4=IFERROR(VLOOKUP(E87,Valintalistat!D$2:H$7,5,0),99),1,0)</f>
        <v>0</v>
      </c>
      <c r="AD87" s="47">
        <f>IF(Esiehdot!E$5=IFERROR(VLOOKUP(F87,Valintalistat!E$2:H$5,4,0),99),1,0)</f>
        <v>0</v>
      </c>
      <c r="AE87" s="47">
        <f>IF(Esiehdot!E$6=IFERROR(VLOOKUP(G87,Valintalistat!F$2:H$5,3,0),99),1,0)</f>
        <v>0</v>
      </c>
      <c r="AF87" s="47">
        <f>IF(Esiehdot!E$8=IFERROR(VLOOKUP(H87,Valintalistat!G$2:H$3,2,0),98),1,0)</f>
        <v>0</v>
      </c>
      <c r="AG87" s="47">
        <f t="shared" si="12"/>
        <v>0</v>
      </c>
      <c r="AH87" s="47">
        <f>IFERROR(HLOOKUP(Esiehdot!$B$17,Käyttötapauskriteerit!G$1:P87,87,0),1)</f>
        <v>1</v>
      </c>
      <c r="AI87" s="47">
        <f t="shared" si="13"/>
        <v>0</v>
      </c>
      <c r="AJ87" s="47">
        <f t="shared" si="14"/>
        <v>0</v>
      </c>
      <c r="AK87" s="47">
        <f t="shared" si="15"/>
        <v>0</v>
      </c>
      <c r="AL87" s="47">
        <f t="shared" si="16"/>
        <v>0</v>
      </c>
      <c r="AM87" s="47"/>
      <c r="AN87" s="45" t="str">
        <f t="shared" si="17"/>
        <v>Ei ehdoteta hankintaan</v>
      </c>
      <c r="XEK87" s="5"/>
      <c r="XEL87" s="5"/>
      <c r="XEM87" s="22"/>
      <c r="XEN87" s="22"/>
      <c r="XEO87" s="17"/>
      <c r="XEP87" s="17"/>
      <c r="XEQ87" s="17"/>
      <c r="XER87" s="17"/>
      <c r="XES87" s="17"/>
      <c r="XET87" s="17"/>
      <c r="XEU87" s="17"/>
      <c r="XEV87" s="32"/>
      <c r="XEW87" s="23"/>
      <c r="XEX87" s="23"/>
      <c r="XEY87" s="23"/>
      <c r="XEZ87" s="9"/>
      <c r="XFA87" s="9"/>
      <c r="XFB87" s="9"/>
      <c r="XFC87" s="9"/>
    </row>
    <row r="88" spans="1:40 16305:16383" s="24" customFormat="1" ht="50.1">
      <c r="A88" s="5" t="s">
        <v>35</v>
      </c>
      <c r="B88" s="5" t="s">
        <v>771</v>
      </c>
      <c r="C88" s="22" t="s">
        <v>819</v>
      </c>
      <c r="D88" s="22"/>
      <c r="E88" s="17" t="s">
        <v>276</v>
      </c>
      <c r="F88" s="17" t="s">
        <v>277</v>
      </c>
      <c r="G88" s="17" t="s">
        <v>277</v>
      </c>
      <c r="H88" s="17" t="s">
        <v>278</v>
      </c>
      <c r="I88" s="17"/>
      <c r="J88" s="17" t="s">
        <v>511</v>
      </c>
      <c r="K88" s="17" t="s">
        <v>773</v>
      </c>
      <c r="L88" s="32" t="s">
        <v>820</v>
      </c>
      <c r="M88" s="61" t="s">
        <v>821</v>
      </c>
      <c r="N88" s="23" t="s">
        <v>822</v>
      </c>
      <c r="O88" s="23" t="s">
        <v>823</v>
      </c>
      <c r="P88" s="9" t="s">
        <v>824</v>
      </c>
      <c r="Q88" s="9" t="s">
        <v>825</v>
      </c>
      <c r="R88" s="9"/>
      <c r="S88" s="9" t="s">
        <v>826</v>
      </c>
      <c r="U88" s="42" t="str">
        <f t="shared" si="9"/>
        <v>TEK-02, L:Salassa pidettävä, E:Tärkeä, S:Tärkeä, TS:Erityinen henkilötietoryhmä</v>
      </c>
      <c r="V88" s="47" t="str">
        <f t="shared" si="10"/>
        <v>Katakri: I-02</v>
      </c>
      <c r="W88" s="47">
        <f>IFERROR(VLOOKUP(A88,Esiehdot!A$11:D$15,4,0), 0)</f>
        <v>1</v>
      </c>
      <c r="X88" s="47">
        <f>IF(Esiehdot!D$4&gt;=IFERROR(VLOOKUP(E88,Valintalistat!D$2:H$7,5,0), 99),1,0)</f>
        <v>0</v>
      </c>
      <c r="Y88" s="47">
        <f>IF(Esiehdot!D$5&gt;=IFERROR(VLOOKUP(F88,Valintalistat!E$2:H$5,4,0), 99),1,0)</f>
        <v>0</v>
      </c>
      <c r="Z88" s="47">
        <f>IF(Esiehdot!D$6&gt;=IFERROR(VLOOKUP(G88,Valintalistat!F$2:H$5,3,0),99),1,0)</f>
        <v>0</v>
      </c>
      <c r="AA88" s="47">
        <f>IF(Esiehdot!D$8&gt;=IFERROR(VLOOKUP(H88,Valintalistat!G$2:H$5,2,0),99),1,0)</f>
        <v>0</v>
      </c>
      <c r="AB88" s="47">
        <f t="shared" si="11"/>
        <v>0</v>
      </c>
      <c r="AC88" s="47">
        <f>IF(Esiehdot!E$4=IFERROR(VLOOKUP(E88,Valintalistat!D$2:H$7,5,0),99),1,0)</f>
        <v>1</v>
      </c>
      <c r="AD88" s="47">
        <f>IF(Esiehdot!E$5=IFERROR(VLOOKUP(F88,Valintalistat!E$2:H$5,4,0),99),1,0)</f>
        <v>0</v>
      </c>
      <c r="AE88" s="47">
        <f>IF(Esiehdot!E$6=IFERROR(VLOOKUP(G88,Valintalistat!F$2:H$5,3,0),99),1,0)</f>
        <v>0</v>
      </c>
      <c r="AF88" s="47">
        <f>IF(Esiehdot!E$8=IFERROR(VLOOKUP(H88,Valintalistat!G$2:H$3,2,0),98),1,0)</f>
        <v>0</v>
      </c>
      <c r="AG88" s="47">
        <f t="shared" si="12"/>
        <v>1</v>
      </c>
      <c r="AH88" s="47">
        <f>IFERROR(HLOOKUP(Esiehdot!$B$17,Käyttötapauskriteerit!G$1:P88,88,0),1)</f>
        <v>1</v>
      </c>
      <c r="AI88" s="47">
        <f t="shared" si="13"/>
        <v>0</v>
      </c>
      <c r="AJ88" s="47">
        <f t="shared" si="14"/>
        <v>0</v>
      </c>
      <c r="AK88" s="47">
        <f t="shared" si="15"/>
        <v>1</v>
      </c>
      <c r="AL88" s="47">
        <f t="shared" si="16"/>
        <v>0</v>
      </c>
      <c r="AM88" s="47"/>
      <c r="AN88" s="45" t="str">
        <f t="shared" si="17"/>
        <v>Valinnainen</v>
      </c>
      <c r="XEK88" s="5"/>
      <c r="XEL88" s="5"/>
      <c r="XEM88" s="22"/>
      <c r="XEN88" s="22"/>
      <c r="XEO88" s="17"/>
      <c r="XEP88" s="17"/>
      <c r="XEQ88" s="17"/>
      <c r="XER88" s="17"/>
      <c r="XES88" s="17"/>
      <c r="XET88" s="17"/>
      <c r="XEU88" s="17"/>
      <c r="XEV88" s="32"/>
      <c r="XEW88" s="23"/>
      <c r="XEX88" s="23"/>
      <c r="XEY88" s="23"/>
      <c r="XEZ88" s="9"/>
      <c r="XFA88" s="9"/>
      <c r="XFB88" s="9"/>
      <c r="XFC88" s="9"/>
    </row>
    <row r="89" spans="1:40 16305:16383" s="24" customFormat="1" ht="50.1">
      <c r="A89" s="5" t="s">
        <v>35</v>
      </c>
      <c r="B89" s="5" t="s">
        <v>771</v>
      </c>
      <c r="C89" s="22" t="s">
        <v>827</v>
      </c>
      <c r="D89" s="22" t="s">
        <v>819</v>
      </c>
      <c r="E89" s="17" t="s">
        <v>554</v>
      </c>
      <c r="F89" s="17"/>
      <c r="G89" s="17"/>
      <c r="H89" s="17"/>
      <c r="I89" s="17"/>
      <c r="J89" s="17" t="s">
        <v>511</v>
      </c>
      <c r="K89" s="17" t="s">
        <v>773</v>
      </c>
      <c r="L89" s="32" t="s">
        <v>828</v>
      </c>
      <c r="M89" s="61" t="s">
        <v>829</v>
      </c>
      <c r="N89" s="23" t="s">
        <v>830</v>
      </c>
      <c r="O89" s="23" t="s">
        <v>831</v>
      </c>
      <c r="P89" s="9" t="s">
        <v>815</v>
      </c>
      <c r="Q89" s="9" t="s">
        <v>825</v>
      </c>
      <c r="R89" s="9" t="s">
        <v>832</v>
      </c>
      <c r="S89" s="9" t="s">
        <v>826</v>
      </c>
      <c r="U89" s="42" t="str">
        <f t="shared" si="9"/>
        <v>TEK-02.1, L:TL IV, E:, S:, TS:</v>
      </c>
      <c r="V89" s="42" t="str">
        <f t="shared" si="10"/>
        <v>Julkri: TEK-03; Katakri: I-02</v>
      </c>
      <c r="W89" s="43">
        <f>IFERROR(VLOOKUP(A89,Esiehdot!A$11:D$15,4,0), 0)</f>
        <v>1</v>
      </c>
      <c r="X89" s="44">
        <f>IF(Esiehdot!D$4&gt;=IFERROR(VLOOKUP(E89,Valintalistat!D$2:H$7,5,0), 99),1,0)</f>
        <v>0</v>
      </c>
      <c r="Y89" s="44">
        <f>IF(Esiehdot!D$5&gt;=IFERROR(VLOOKUP(F89,Valintalistat!E$2:H$5,4,0), 99),1,0)</f>
        <v>0</v>
      </c>
      <c r="Z89" s="44">
        <f>IF(Esiehdot!D$6&gt;=IFERROR(VLOOKUP(G89,Valintalistat!F$2:H$5,3,0),99),1,0)</f>
        <v>0</v>
      </c>
      <c r="AA89" s="44">
        <f>IF(Esiehdot!D$8&gt;=IFERROR(VLOOKUP(H89,Valintalistat!G$2:H$5,2,0),99),1,0)</f>
        <v>0</v>
      </c>
      <c r="AB89" s="43">
        <f t="shared" si="11"/>
        <v>0</v>
      </c>
      <c r="AC89" s="44">
        <f>IF(Esiehdot!E$4=IFERROR(VLOOKUP(E89,Valintalistat!D$2:H$7,5,0),99),1,0)</f>
        <v>0</v>
      </c>
      <c r="AD89" s="44">
        <f>IF(Esiehdot!E$5=IFERROR(VLOOKUP(F89,Valintalistat!E$2:H$5,4,0),99),1,0)</f>
        <v>0</v>
      </c>
      <c r="AE89" s="44">
        <f>IF(Esiehdot!E$6=IFERROR(VLOOKUP(G89,Valintalistat!F$2:H$5,3,0),99),1,0)</f>
        <v>0</v>
      </c>
      <c r="AF89" s="44">
        <f>IF(Esiehdot!E$8=IFERROR(VLOOKUP(H89,Valintalistat!G$2:H$3,2,0),98),1,0)</f>
        <v>0</v>
      </c>
      <c r="AG89" s="43">
        <f t="shared" si="12"/>
        <v>0</v>
      </c>
      <c r="AH89" s="43">
        <f>IFERROR(HLOOKUP(Esiehdot!$B$17,Käyttötapauskriteerit!G$1:P89,89,0),1)</f>
        <v>1</v>
      </c>
      <c r="AI89" s="43">
        <f t="shared" si="13"/>
        <v>0</v>
      </c>
      <c r="AJ89" s="43">
        <f t="shared" si="14"/>
        <v>0</v>
      </c>
      <c r="AK89" s="43">
        <f t="shared" si="15"/>
        <v>0</v>
      </c>
      <c r="AL89" s="43">
        <f t="shared" si="16"/>
        <v>0</v>
      </c>
      <c r="AM89" s="43"/>
      <c r="AN89" s="45" t="str">
        <f t="shared" si="17"/>
        <v>Ei ehdoteta hankintaan</v>
      </c>
    </row>
    <row r="90" spans="1:40 16305:16383" s="24" customFormat="1" ht="50.1">
      <c r="A90" s="5" t="s">
        <v>35</v>
      </c>
      <c r="B90" s="5" t="s">
        <v>771</v>
      </c>
      <c r="C90" s="22" t="s">
        <v>832</v>
      </c>
      <c r="D90" s="22"/>
      <c r="E90" s="17" t="s">
        <v>276</v>
      </c>
      <c r="F90" s="17" t="s">
        <v>277</v>
      </c>
      <c r="G90" s="17" t="s">
        <v>277</v>
      </c>
      <c r="H90" s="17" t="s">
        <v>278</v>
      </c>
      <c r="I90" s="17"/>
      <c r="J90" s="17" t="s">
        <v>511</v>
      </c>
      <c r="K90" s="17" t="s">
        <v>773</v>
      </c>
      <c r="L90" s="32" t="s">
        <v>833</v>
      </c>
      <c r="M90" s="61" t="s">
        <v>834</v>
      </c>
      <c r="N90" s="23" t="s">
        <v>835</v>
      </c>
      <c r="O90" s="23"/>
      <c r="P90" s="9" t="s">
        <v>836</v>
      </c>
      <c r="Q90" s="9" t="s">
        <v>837</v>
      </c>
      <c r="R90" s="9"/>
      <c r="S90" s="9" t="s">
        <v>838</v>
      </c>
      <c r="U90" s="42" t="str">
        <f t="shared" si="9"/>
        <v>TEK-03, L:Salassa pidettävä, E:Tärkeä, S:Tärkeä, TS:Erityinen henkilötietoryhmä</v>
      </c>
      <c r="V90" s="42" t="str">
        <f t="shared" si="10"/>
        <v>Katakri: I-03</v>
      </c>
      <c r="W90" s="43">
        <f>IFERROR(VLOOKUP(A90,Esiehdot!A$11:D$15,4,0), 0)</f>
        <v>1</v>
      </c>
      <c r="X90" s="44">
        <f>IF(Esiehdot!D$4&gt;=IFERROR(VLOOKUP(E90,Valintalistat!D$2:H$7,5,0), 99),1,0)</f>
        <v>0</v>
      </c>
      <c r="Y90" s="44">
        <f>IF(Esiehdot!D$5&gt;=IFERROR(VLOOKUP(F90,Valintalistat!E$2:H$5,4,0), 99),1,0)</f>
        <v>0</v>
      </c>
      <c r="Z90" s="44">
        <f>IF(Esiehdot!D$6&gt;=IFERROR(VLOOKUP(G90,Valintalistat!F$2:H$5,3,0),99),1,0)</f>
        <v>0</v>
      </c>
      <c r="AA90" s="44">
        <f>IF(Esiehdot!D$8&gt;=IFERROR(VLOOKUP(H90,Valintalistat!G$2:H$5,2,0),99),1,0)</f>
        <v>0</v>
      </c>
      <c r="AB90" s="43">
        <f t="shared" si="11"/>
        <v>0</v>
      </c>
      <c r="AC90" s="44">
        <f>IF(Esiehdot!E$4=IFERROR(VLOOKUP(E90,Valintalistat!D$2:H$7,5,0),99),1,0)</f>
        <v>1</v>
      </c>
      <c r="AD90" s="44">
        <f>IF(Esiehdot!E$5=IFERROR(VLOOKUP(F90,Valintalistat!E$2:H$5,4,0),99),1,0)</f>
        <v>0</v>
      </c>
      <c r="AE90" s="44">
        <f>IF(Esiehdot!E$6=IFERROR(VLOOKUP(G90,Valintalistat!F$2:H$5,3,0),99),1,0)</f>
        <v>0</v>
      </c>
      <c r="AF90" s="44">
        <f>IF(Esiehdot!E$8=IFERROR(VLOOKUP(H90,Valintalistat!G$2:H$3,2,0),98),1,0)</f>
        <v>0</v>
      </c>
      <c r="AG90" s="43">
        <f t="shared" si="12"/>
        <v>1</v>
      </c>
      <c r="AH90" s="43">
        <f>IFERROR(HLOOKUP(Esiehdot!$B$17,Käyttötapauskriteerit!G$1:P90,90,0),1)</f>
        <v>1</v>
      </c>
      <c r="AI90" s="43">
        <f t="shared" si="13"/>
        <v>0</v>
      </c>
      <c r="AJ90" s="43">
        <f t="shared" si="14"/>
        <v>0</v>
      </c>
      <c r="AK90" s="43">
        <f t="shared" si="15"/>
        <v>1</v>
      </c>
      <c r="AL90" s="43">
        <f t="shared" si="16"/>
        <v>0</v>
      </c>
      <c r="AM90" s="43"/>
      <c r="AN90" s="45" t="str">
        <f t="shared" si="17"/>
        <v>Valinnainen</v>
      </c>
    </row>
    <row r="91" spans="1:40 16305:16383" s="24" customFormat="1" ht="50.1">
      <c r="A91" s="5" t="s">
        <v>35</v>
      </c>
      <c r="B91" s="5" t="s">
        <v>771</v>
      </c>
      <c r="C91" s="22" t="s">
        <v>839</v>
      </c>
      <c r="D91" s="22" t="s">
        <v>832</v>
      </c>
      <c r="E91" s="17" t="s">
        <v>276</v>
      </c>
      <c r="F91" s="17" t="s">
        <v>277</v>
      </c>
      <c r="G91" s="17" t="s">
        <v>277</v>
      </c>
      <c r="H91" s="17" t="s">
        <v>278</v>
      </c>
      <c r="I91" s="17"/>
      <c r="J91" s="17" t="s">
        <v>511</v>
      </c>
      <c r="K91" s="17" t="s">
        <v>773</v>
      </c>
      <c r="L91" s="32" t="s">
        <v>840</v>
      </c>
      <c r="M91" s="61" t="s">
        <v>841</v>
      </c>
      <c r="N91" s="23"/>
      <c r="O91" s="23"/>
      <c r="P91" s="9" t="s">
        <v>842</v>
      </c>
      <c r="Q91" s="9" t="s">
        <v>843</v>
      </c>
      <c r="R91" s="9"/>
      <c r="S91" s="9" t="s">
        <v>844</v>
      </c>
      <c r="U91" s="42" t="str">
        <f t="shared" si="9"/>
        <v>TEK-03.1, L:Salassa pidettävä, E:Tärkeä, S:Tärkeä, TS:Erityinen henkilötietoryhmä</v>
      </c>
      <c r="V91" s="47" t="str">
        <f t="shared" si="10"/>
        <v>Katakri: I-03, I-16</v>
      </c>
      <c r="W91" s="47">
        <f>IFERROR(VLOOKUP(A91,Esiehdot!A$11:D$15,4,0), 0)</f>
        <v>1</v>
      </c>
      <c r="X91" s="47">
        <f>IF(Esiehdot!D$4&gt;=IFERROR(VLOOKUP(E91,Valintalistat!D$2:H$7,5,0), 99),1,0)</f>
        <v>0</v>
      </c>
      <c r="Y91" s="47">
        <f>IF(Esiehdot!D$5&gt;=IFERROR(VLOOKUP(F91,Valintalistat!E$2:H$5,4,0), 99),1,0)</f>
        <v>0</v>
      </c>
      <c r="Z91" s="47">
        <f>IF(Esiehdot!D$6&gt;=IFERROR(VLOOKUP(G91,Valintalistat!F$2:H$5,3,0),99),1,0)</f>
        <v>0</v>
      </c>
      <c r="AA91" s="47">
        <f>IF(Esiehdot!D$8&gt;=IFERROR(VLOOKUP(H91,Valintalistat!G$2:H$5,2,0),99),1,0)</f>
        <v>0</v>
      </c>
      <c r="AB91" s="47">
        <f t="shared" si="11"/>
        <v>0</v>
      </c>
      <c r="AC91" s="47">
        <f>IF(Esiehdot!E$4=IFERROR(VLOOKUP(E91,Valintalistat!D$2:H$7,5,0),99),1,0)</f>
        <v>1</v>
      </c>
      <c r="AD91" s="47">
        <f>IF(Esiehdot!E$5=IFERROR(VLOOKUP(F91,Valintalistat!E$2:H$5,4,0),99),1,0)</f>
        <v>0</v>
      </c>
      <c r="AE91" s="47">
        <f>IF(Esiehdot!E$6=IFERROR(VLOOKUP(G91,Valintalistat!F$2:H$5,3,0),99),1,0)</f>
        <v>0</v>
      </c>
      <c r="AF91" s="47">
        <f>IF(Esiehdot!E$8=IFERROR(VLOOKUP(H91,Valintalistat!G$2:H$3,2,0),98),1,0)</f>
        <v>0</v>
      </c>
      <c r="AG91" s="47">
        <f t="shared" si="12"/>
        <v>1</v>
      </c>
      <c r="AH91" s="47">
        <f>IFERROR(HLOOKUP(Esiehdot!$B$17,Käyttötapauskriteerit!G$1:P91,91,0),1)</f>
        <v>1</v>
      </c>
      <c r="AI91" s="47">
        <f t="shared" si="13"/>
        <v>0</v>
      </c>
      <c r="AJ91" s="47">
        <f t="shared" si="14"/>
        <v>0</v>
      </c>
      <c r="AK91" s="47">
        <f t="shared" si="15"/>
        <v>1</v>
      </c>
      <c r="AL91" s="47">
        <f t="shared" si="16"/>
        <v>0</v>
      </c>
      <c r="AM91" s="47"/>
      <c r="AN91" s="45" t="str">
        <f t="shared" si="17"/>
        <v>Valinnainen</v>
      </c>
      <c r="XEK91" s="5"/>
      <c r="XEL91" s="5"/>
      <c r="XEM91" s="22"/>
      <c r="XEN91" s="22"/>
      <c r="XEO91" s="17"/>
      <c r="XEP91" s="17"/>
      <c r="XEQ91" s="17"/>
      <c r="XER91" s="17"/>
      <c r="XES91" s="17"/>
      <c r="XET91" s="17"/>
      <c r="XEU91" s="17"/>
      <c r="XEV91" s="32"/>
      <c r="XEW91" s="23"/>
      <c r="XEX91" s="23"/>
      <c r="XEY91" s="23"/>
      <c r="XEZ91" s="9"/>
      <c r="XFA91" s="9"/>
      <c r="XFB91" s="9"/>
      <c r="XFC91" s="9"/>
    </row>
    <row r="92" spans="1:40 16305:16383" ht="62.45">
      <c r="A92" s="5" t="s">
        <v>35</v>
      </c>
      <c r="B92" s="5" t="s">
        <v>771</v>
      </c>
      <c r="C92" s="22" t="s">
        <v>845</v>
      </c>
      <c r="D92" s="22" t="s">
        <v>832</v>
      </c>
      <c r="E92" s="17" t="s">
        <v>276</v>
      </c>
      <c r="F92" s="17" t="s">
        <v>277</v>
      </c>
      <c r="G92" s="17" t="s">
        <v>277</v>
      </c>
      <c r="H92" s="17" t="s">
        <v>278</v>
      </c>
      <c r="I92" s="17"/>
      <c r="J92" s="17" t="s">
        <v>511</v>
      </c>
      <c r="K92" s="17" t="s">
        <v>773</v>
      </c>
      <c r="L92" s="32" t="s">
        <v>846</v>
      </c>
      <c r="M92" s="61" t="s">
        <v>847</v>
      </c>
      <c r="N92" s="23"/>
      <c r="O92" s="23"/>
      <c r="P92" s="9" t="s">
        <v>848</v>
      </c>
      <c r="Q92" s="9"/>
      <c r="R92" s="9" t="s">
        <v>386</v>
      </c>
      <c r="S92" s="9" t="s">
        <v>838</v>
      </c>
      <c r="U92" s="42" t="str">
        <f t="shared" si="9"/>
        <v>TEK-03.2, L:Salassa pidettävä, E:Tärkeä, S:Tärkeä, TS:Erityinen henkilötietoryhmä</v>
      </c>
      <c r="V92" s="42" t="str">
        <f t="shared" si="10"/>
        <v>Julkri: HAL-09; Katakri: I-03</v>
      </c>
      <c r="W92" s="43">
        <f>IFERROR(VLOOKUP(A92,Esiehdot!A$11:D$15,4,0), 0)</f>
        <v>1</v>
      </c>
      <c r="X92" s="44">
        <f>IF(Esiehdot!D$4&gt;=IFERROR(VLOOKUP(E92,Valintalistat!D$2:H$7,5,0), 99),1,0)</f>
        <v>0</v>
      </c>
      <c r="Y92" s="44">
        <f>IF(Esiehdot!D$5&gt;=IFERROR(VLOOKUP(F92,Valintalistat!E$2:H$5,4,0), 99),1,0)</f>
        <v>0</v>
      </c>
      <c r="Z92" s="44">
        <f>IF(Esiehdot!D$6&gt;=IFERROR(VLOOKUP(G92,Valintalistat!F$2:H$5,3,0),99),1,0)</f>
        <v>0</v>
      </c>
      <c r="AA92" s="44">
        <f>IF(Esiehdot!D$8&gt;=IFERROR(VLOOKUP(H92,Valintalistat!G$2:H$5,2,0),99),1,0)</f>
        <v>0</v>
      </c>
      <c r="AB92" s="43">
        <f t="shared" si="11"/>
        <v>0</v>
      </c>
      <c r="AC92" s="44">
        <f>IF(Esiehdot!E$4=IFERROR(VLOOKUP(E92,Valintalistat!D$2:H$7,5,0),99),1,0)</f>
        <v>1</v>
      </c>
      <c r="AD92" s="44">
        <f>IF(Esiehdot!E$5=IFERROR(VLOOKUP(F92,Valintalistat!E$2:H$5,4,0),99),1,0)</f>
        <v>0</v>
      </c>
      <c r="AE92" s="44">
        <f>IF(Esiehdot!E$6=IFERROR(VLOOKUP(G92,Valintalistat!F$2:H$5,3,0),99),1,0)</f>
        <v>0</v>
      </c>
      <c r="AF92" s="44">
        <f>IF(Esiehdot!E$8=IFERROR(VLOOKUP(H92,Valintalistat!G$2:H$3,2,0),98),1,0)</f>
        <v>0</v>
      </c>
      <c r="AG92" s="43">
        <f t="shared" si="12"/>
        <v>1</v>
      </c>
      <c r="AH92" s="43">
        <f>IFERROR(HLOOKUP(Esiehdot!$B$17,Käyttötapauskriteerit!G$1:P92,92,0),1)</f>
        <v>1</v>
      </c>
      <c r="AI92" s="43">
        <f t="shared" si="13"/>
        <v>0</v>
      </c>
      <c r="AJ92" s="43">
        <f t="shared" si="14"/>
        <v>0</v>
      </c>
      <c r="AK92" s="43">
        <f t="shared" si="15"/>
        <v>1</v>
      </c>
      <c r="AL92" s="43">
        <f t="shared" si="16"/>
        <v>0</v>
      </c>
      <c r="AM92" s="43"/>
      <c r="AN92" s="45" t="str">
        <f t="shared" si="17"/>
        <v>Valinnainen</v>
      </c>
    </row>
    <row r="93" spans="1:40 16305:16383" ht="62.45">
      <c r="A93" s="5" t="s">
        <v>35</v>
      </c>
      <c r="B93" s="5" t="s">
        <v>771</v>
      </c>
      <c r="C93" s="22" t="s">
        <v>849</v>
      </c>
      <c r="D93" s="22" t="s">
        <v>832</v>
      </c>
      <c r="E93" s="17" t="s">
        <v>276</v>
      </c>
      <c r="F93" s="17" t="s">
        <v>277</v>
      </c>
      <c r="G93" s="17" t="s">
        <v>277</v>
      </c>
      <c r="H93" s="17" t="s">
        <v>278</v>
      </c>
      <c r="I93" s="17"/>
      <c r="J93" s="17" t="s">
        <v>511</v>
      </c>
      <c r="K93" s="17" t="s">
        <v>773</v>
      </c>
      <c r="L93" s="32" t="s">
        <v>850</v>
      </c>
      <c r="M93" s="61" t="s">
        <v>851</v>
      </c>
      <c r="N93" s="23"/>
      <c r="O93" s="23"/>
      <c r="P93" s="9" t="s">
        <v>836</v>
      </c>
      <c r="Q93" s="9" t="s">
        <v>852</v>
      </c>
      <c r="R93" s="9"/>
      <c r="S93" s="9" t="s">
        <v>838</v>
      </c>
      <c r="U93" s="42" t="str">
        <f t="shared" si="9"/>
        <v>TEK-03.3, L:Salassa pidettävä, E:Tärkeä, S:Tärkeä, TS:Erityinen henkilötietoryhmä</v>
      </c>
      <c r="V93" s="42" t="str">
        <f t="shared" si="10"/>
        <v>Katakri: I-03</v>
      </c>
      <c r="W93" s="43">
        <f>IFERROR(VLOOKUP(A93,Esiehdot!A$11:D$15,4,0), 0)</f>
        <v>1</v>
      </c>
      <c r="X93" s="44">
        <f>IF(Esiehdot!D$4&gt;=IFERROR(VLOOKUP(E93,Valintalistat!D$2:H$7,5,0), 99),1,0)</f>
        <v>0</v>
      </c>
      <c r="Y93" s="44">
        <f>IF(Esiehdot!D$5&gt;=IFERROR(VLOOKUP(F93,Valintalistat!E$2:H$5,4,0), 99),1,0)</f>
        <v>0</v>
      </c>
      <c r="Z93" s="44">
        <f>IF(Esiehdot!D$6&gt;=IFERROR(VLOOKUP(G93,Valintalistat!F$2:H$5,3,0),99),1,0)</f>
        <v>0</v>
      </c>
      <c r="AA93" s="44">
        <f>IF(Esiehdot!D$8&gt;=IFERROR(VLOOKUP(H93,Valintalistat!G$2:H$5,2,0),99),1,0)</f>
        <v>0</v>
      </c>
      <c r="AB93" s="43">
        <f t="shared" si="11"/>
        <v>0</v>
      </c>
      <c r="AC93" s="44">
        <f>IF(Esiehdot!E$4=IFERROR(VLOOKUP(E93,Valintalistat!D$2:H$7,5,0),99),1,0)</f>
        <v>1</v>
      </c>
      <c r="AD93" s="44">
        <f>IF(Esiehdot!E$5=IFERROR(VLOOKUP(F93,Valintalistat!E$2:H$5,4,0),99),1,0)</f>
        <v>0</v>
      </c>
      <c r="AE93" s="44">
        <f>IF(Esiehdot!E$6=IFERROR(VLOOKUP(G93,Valintalistat!F$2:H$5,3,0),99),1,0)</f>
        <v>0</v>
      </c>
      <c r="AF93" s="44">
        <f>IF(Esiehdot!E$8=IFERROR(VLOOKUP(H93,Valintalistat!G$2:H$3,2,0),98),1,0)</f>
        <v>0</v>
      </c>
      <c r="AG93" s="43">
        <f t="shared" si="12"/>
        <v>1</v>
      </c>
      <c r="AH93" s="43">
        <f>IFERROR(HLOOKUP(Esiehdot!$B$17,Käyttötapauskriteerit!G$1:P93,93,0),1)</f>
        <v>1</v>
      </c>
      <c r="AI93" s="43">
        <f t="shared" si="13"/>
        <v>0</v>
      </c>
      <c r="AJ93" s="43">
        <f t="shared" si="14"/>
        <v>0</v>
      </c>
      <c r="AK93" s="43">
        <f t="shared" si="15"/>
        <v>1</v>
      </c>
      <c r="AL93" s="43">
        <f t="shared" si="16"/>
        <v>0</v>
      </c>
      <c r="AM93" s="43"/>
      <c r="AN93" s="45" t="str">
        <f t="shared" si="17"/>
        <v>Valinnainen</v>
      </c>
    </row>
    <row r="94" spans="1:40 16305:16383" s="24" customFormat="1" ht="37.5">
      <c r="A94" s="5" t="s">
        <v>35</v>
      </c>
      <c r="B94" s="5" t="s">
        <v>771</v>
      </c>
      <c r="C94" s="22" t="s">
        <v>810</v>
      </c>
      <c r="D94" s="22"/>
      <c r="E94" s="17" t="s">
        <v>25</v>
      </c>
      <c r="F94" s="17" t="s">
        <v>27</v>
      </c>
      <c r="G94" s="17" t="s">
        <v>27</v>
      </c>
      <c r="H94" s="17" t="s">
        <v>260</v>
      </c>
      <c r="I94" s="17"/>
      <c r="J94" s="17" t="s">
        <v>511</v>
      </c>
      <c r="K94" s="17" t="s">
        <v>773</v>
      </c>
      <c r="L94" s="32" t="s">
        <v>853</v>
      </c>
      <c r="M94" s="61" t="s">
        <v>854</v>
      </c>
      <c r="N94" s="23" t="s">
        <v>855</v>
      </c>
      <c r="O94" s="23" t="s">
        <v>856</v>
      </c>
      <c r="P94" s="9" t="s">
        <v>857</v>
      </c>
      <c r="Q94" s="9" t="s">
        <v>858</v>
      </c>
      <c r="R94" s="9" t="s">
        <v>859</v>
      </c>
      <c r="S94" s="9" t="s">
        <v>860</v>
      </c>
      <c r="U94" s="42" t="str">
        <f t="shared" si="9"/>
        <v>TEK-04, L:Julkinen, E:Vähäinen, S:Vähäinen, TS:Henkilötieto</v>
      </c>
      <c r="V94" s="42" t="str">
        <f t="shared" si="10"/>
        <v>Julkri: TEK-12; Katakri: I-04</v>
      </c>
      <c r="W94" s="43">
        <f>IFERROR(VLOOKUP(A94,Esiehdot!A$11:D$15,4,0), 0)</f>
        <v>1</v>
      </c>
      <c r="X94" s="44">
        <f>IF(Esiehdot!D$4&gt;=IFERROR(VLOOKUP(E94,Valintalistat!D$2:H$7,5,0), 99),1,0)</f>
        <v>1</v>
      </c>
      <c r="Y94" s="44">
        <f>IF(Esiehdot!D$5&gt;=IFERROR(VLOOKUP(F94,Valintalistat!E$2:H$5,4,0), 99),1,0)</f>
        <v>1</v>
      </c>
      <c r="Z94" s="44">
        <f>IF(Esiehdot!D$6&gt;=IFERROR(VLOOKUP(G94,Valintalistat!F$2:H$5,3,0),99),1,0)</f>
        <v>1</v>
      </c>
      <c r="AA94" s="44">
        <f>IF(Esiehdot!D$8&gt;=IFERROR(VLOOKUP(H94,Valintalistat!G$2:H$5,2,0),99),1,0)</f>
        <v>0</v>
      </c>
      <c r="AB94" s="43">
        <f t="shared" si="11"/>
        <v>1</v>
      </c>
      <c r="AC94" s="44">
        <f>IF(Esiehdot!E$4=IFERROR(VLOOKUP(E94,Valintalistat!D$2:H$7,5,0),99),1,0)</f>
        <v>0</v>
      </c>
      <c r="AD94" s="44">
        <f>IF(Esiehdot!E$5=IFERROR(VLOOKUP(F94,Valintalistat!E$2:H$5,4,0),99),1,0)</f>
        <v>0</v>
      </c>
      <c r="AE94" s="44">
        <f>IF(Esiehdot!E$6=IFERROR(VLOOKUP(G94,Valintalistat!F$2:H$5,3,0),99),1,0)</f>
        <v>0</v>
      </c>
      <c r="AF94" s="44">
        <f>IF(Esiehdot!E$8=IFERROR(VLOOKUP(H94,Valintalistat!G$2:H$3,2,0),98),1,0)</f>
        <v>0</v>
      </c>
      <c r="AG94" s="43">
        <f t="shared" si="12"/>
        <v>0</v>
      </c>
      <c r="AH94" s="43">
        <f>IFERROR(HLOOKUP(Esiehdot!$B$17,Käyttötapauskriteerit!G$1:P94,94,0),1)</f>
        <v>1</v>
      </c>
      <c r="AI94" s="43">
        <f t="shared" si="13"/>
        <v>1</v>
      </c>
      <c r="AJ94" s="43">
        <f t="shared" si="14"/>
        <v>0</v>
      </c>
      <c r="AK94" s="43">
        <f t="shared" si="15"/>
        <v>0</v>
      </c>
      <c r="AL94" s="43">
        <f t="shared" si="16"/>
        <v>0</v>
      </c>
      <c r="AM94" s="43"/>
      <c r="AN94" s="45" t="str">
        <f t="shared" si="17"/>
        <v>Olennainen</v>
      </c>
    </row>
    <row r="95" spans="1:40 16305:16383" ht="62.45">
      <c r="A95" s="5" t="s">
        <v>35</v>
      </c>
      <c r="B95" s="5" t="s">
        <v>771</v>
      </c>
      <c r="C95" s="22" t="s">
        <v>861</v>
      </c>
      <c r="D95" s="22" t="s">
        <v>810</v>
      </c>
      <c r="E95" s="17" t="s">
        <v>25</v>
      </c>
      <c r="F95" s="17" t="s">
        <v>27</v>
      </c>
      <c r="G95" s="17" t="s">
        <v>27</v>
      </c>
      <c r="H95" s="17" t="s">
        <v>260</v>
      </c>
      <c r="I95" s="17"/>
      <c r="J95" s="17" t="s">
        <v>511</v>
      </c>
      <c r="K95" s="17" t="s">
        <v>773</v>
      </c>
      <c r="L95" s="32" t="s">
        <v>862</v>
      </c>
      <c r="M95" s="61" t="s">
        <v>863</v>
      </c>
      <c r="N95" s="23" t="s">
        <v>864</v>
      </c>
      <c r="O95" s="23" t="s">
        <v>865</v>
      </c>
      <c r="P95" s="9" t="s">
        <v>866</v>
      </c>
      <c r="Q95" s="9" t="s">
        <v>867</v>
      </c>
      <c r="R95" s="9"/>
      <c r="S95" s="9" t="s">
        <v>860</v>
      </c>
      <c r="U95" s="42" t="str">
        <f t="shared" si="9"/>
        <v>TEK-04.1, L:Julkinen, E:Vähäinen, S:Vähäinen, TS:Henkilötieto</v>
      </c>
      <c r="V95" s="46" t="str">
        <f t="shared" si="10"/>
        <v>Katakri: I-04</v>
      </c>
      <c r="W95" s="46">
        <f>IFERROR(VLOOKUP(A95,Esiehdot!A$11:D$15,4,0), 0)</f>
        <v>1</v>
      </c>
      <c r="X95" s="46">
        <f>IF(Esiehdot!D$4&gt;=IFERROR(VLOOKUP(E95,Valintalistat!D$2:H$7,5,0), 99),1,0)</f>
        <v>1</v>
      </c>
      <c r="Y95" s="46">
        <f>IF(Esiehdot!D$5&gt;=IFERROR(VLOOKUP(F95,Valintalistat!E$2:H$5,4,0), 99),1,0)</f>
        <v>1</v>
      </c>
      <c r="Z95" s="46">
        <f>IF(Esiehdot!D$6&gt;=IFERROR(VLOOKUP(G95,Valintalistat!F$2:H$5,3,0),99),1,0)</f>
        <v>1</v>
      </c>
      <c r="AA95" s="46">
        <f>IF(Esiehdot!D$8&gt;=IFERROR(VLOOKUP(H95,Valintalistat!G$2:H$5,2,0),99),1,0)</f>
        <v>0</v>
      </c>
      <c r="AB95" s="46">
        <f t="shared" si="11"/>
        <v>1</v>
      </c>
      <c r="AC95" s="46">
        <f>IF(Esiehdot!E$4=IFERROR(VLOOKUP(E95,Valintalistat!D$2:H$7,5,0),99),1,0)</f>
        <v>0</v>
      </c>
      <c r="AD95" s="46">
        <f>IF(Esiehdot!E$5=IFERROR(VLOOKUP(F95,Valintalistat!E$2:H$5,4,0),99),1,0)</f>
        <v>0</v>
      </c>
      <c r="AE95" s="46">
        <f>IF(Esiehdot!E$6=IFERROR(VLOOKUP(G95,Valintalistat!F$2:H$5,3,0),99),1,0)</f>
        <v>0</v>
      </c>
      <c r="AF95" s="46">
        <f>IF(Esiehdot!E$8=IFERROR(VLOOKUP(H95,Valintalistat!G$2:H$3,2,0),98),1,0)</f>
        <v>0</v>
      </c>
      <c r="AG95" s="46">
        <f t="shared" si="12"/>
        <v>0</v>
      </c>
      <c r="AH95" s="46">
        <f>IFERROR(HLOOKUP(Esiehdot!$B$17,Käyttötapauskriteerit!G$1:P95,95,0),1)</f>
        <v>1</v>
      </c>
      <c r="AI95" s="46">
        <f t="shared" si="13"/>
        <v>1</v>
      </c>
      <c r="AJ95" s="46">
        <f t="shared" si="14"/>
        <v>0</v>
      </c>
      <c r="AK95" s="46">
        <f t="shared" si="15"/>
        <v>0</v>
      </c>
      <c r="AL95" s="46">
        <f t="shared" si="16"/>
        <v>0</v>
      </c>
      <c r="AM95" s="46"/>
      <c r="AN95" s="45" t="str">
        <f t="shared" si="17"/>
        <v>Olennainen</v>
      </c>
      <c r="XDQ95" s="5"/>
      <c r="XDR95" s="5"/>
      <c r="XDS95" s="22"/>
      <c r="XDT95" s="22"/>
      <c r="XDU95" s="17"/>
      <c r="XDV95" s="17"/>
      <c r="XDW95" s="17"/>
      <c r="XDX95" s="17"/>
      <c r="XDY95" s="17"/>
      <c r="XDZ95" s="17"/>
      <c r="XEA95" s="17"/>
      <c r="XEB95" s="32"/>
      <c r="XEC95" s="23"/>
      <c r="XED95" s="23"/>
      <c r="XEE95" s="23"/>
      <c r="XEF95" s="9"/>
      <c r="XEG95" s="9"/>
      <c r="XEH95" s="9"/>
      <c r="XEI95" s="9"/>
      <c r="XEK95" s="5"/>
      <c r="XEL95" s="5"/>
      <c r="XEM95" s="22"/>
      <c r="XEN95" s="22"/>
      <c r="XEO95" s="17"/>
      <c r="XEP95" s="17"/>
      <c r="XEQ95" s="17"/>
      <c r="XER95" s="17"/>
      <c r="XES95" s="17"/>
      <c r="XET95" s="17"/>
      <c r="XEU95" s="17"/>
      <c r="XEV95" s="32"/>
      <c r="XEW95" s="23"/>
      <c r="XEX95" s="23"/>
      <c r="XEY95" s="23"/>
      <c r="XEZ95" s="9"/>
      <c r="XFA95" s="9"/>
      <c r="XFB95" s="9"/>
      <c r="XFC95" s="9"/>
    </row>
    <row r="96" spans="1:40 16305:16383" ht="62.45">
      <c r="A96" s="5" t="s">
        <v>35</v>
      </c>
      <c r="B96" s="5" t="s">
        <v>771</v>
      </c>
      <c r="C96" s="22" t="s">
        <v>868</v>
      </c>
      <c r="D96" s="22" t="s">
        <v>810</v>
      </c>
      <c r="E96" s="17" t="s">
        <v>25</v>
      </c>
      <c r="F96" s="17" t="s">
        <v>27</v>
      </c>
      <c r="G96" s="17" t="s">
        <v>27</v>
      </c>
      <c r="H96" s="17" t="s">
        <v>260</v>
      </c>
      <c r="I96" s="17"/>
      <c r="J96" s="17" t="s">
        <v>511</v>
      </c>
      <c r="K96" s="17" t="s">
        <v>773</v>
      </c>
      <c r="L96" s="32" t="s">
        <v>869</v>
      </c>
      <c r="M96" s="61" t="s">
        <v>870</v>
      </c>
      <c r="N96" s="23"/>
      <c r="O96" s="23"/>
      <c r="P96" s="9" t="s">
        <v>871</v>
      </c>
      <c r="Q96" s="9" t="s">
        <v>786</v>
      </c>
      <c r="R96" s="9"/>
      <c r="S96" s="9" t="s">
        <v>860</v>
      </c>
      <c r="U96" s="42" t="str">
        <f t="shared" si="9"/>
        <v>TEK-04.2, L:Julkinen, E:Vähäinen, S:Vähäinen, TS:Henkilötieto</v>
      </c>
      <c r="V96" s="42" t="str">
        <f t="shared" si="10"/>
        <v>Katakri: I-04</v>
      </c>
      <c r="W96" s="43">
        <f>IFERROR(VLOOKUP(A96,Esiehdot!A$11:D$15,4,0), 0)</f>
        <v>1</v>
      </c>
      <c r="X96" s="44">
        <f>IF(Esiehdot!D$4&gt;=IFERROR(VLOOKUP(E96,Valintalistat!D$2:H$7,5,0), 99),1,0)</f>
        <v>1</v>
      </c>
      <c r="Y96" s="44">
        <f>IF(Esiehdot!D$5&gt;=IFERROR(VLOOKUP(F96,Valintalistat!E$2:H$5,4,0), 99),1,0)</f>
        <v>1</v>
      </c>
      <c r="Z96" s="44">
        <f>IF(Esiehdot!D$6&gt;=IFERROR(VLOOKUP(G96,Valintalistat!F$2:H$5,3,0),99),1,0)</f>
        <v>1</v>
      </c>
      <c r="AA96" s="44">
        <f>IF(Esiehdot!D$8&gt;=IFERROR(VLOOKUP(H96,Valintalistat!G$2:H$5,2,0),99),1,0)</f>
        <v>0</v>
      </c>
      <c r="AB96" s="43">
        <f t="shared" si="11"/>
        <v>1</v>
      </c>
      <c r="AC96" s="44">
        <f>IF(Esiehdot!E$4=IFERROR(VLOOKUP(E96,Valintalistat!D$2:H$7,5,0),99),1,0)</f>
        <v>0</v>
      </c>
      <c r="AD96" s="44">
        <f>IF(Esiehdot!E$5=IFERROR(VLOOKUP(F96,Valintalistat!E$2:H$5,4,0),99),1,0)</f>
        <v>0</v>
      </c>
      <c r="AE96" s="44">
        <f>IF(Esiehdot!E$6=IFERROR(VLOOKUP(G96,Valintalistat!F$2:H$5,3,0),99),1,0)</f>
        <v>0</v>
      </c>
      <c r="AF96" s="44">
        <f>IF(Esiehdot!E$8=IFERROR(VLOOKUP(H96,Valintalistat!G$2:H$3,2,0),98),1,0)</f>
        <v>0</v>
      </c>
      <c r="AG96" s="43">
        <f t="shared" si="12"/>
        <v>0</v>
      </c>
      <c r="AH96" s="43">
        <f>IFERROR(HLOOKUP(Esiehdot!$B$17,Käyttötapauskriteerit!G$1:P96,96,0),1)</f>
        <v>1</v>
      </c>
      <c r="AI96" s="43">
        <f t="shared" si="13"/>
        <v>1</v>
      </c>
      <c r="AJ96" s="43">
        <f t="shared" si="14"/>
        <v>0</v>
      </c>
      <c r="AK96" s="43">
        <f t="shared" si="15"/>
        <v>0</v>
      </c>
      <c r="AL96" s="43">
        <f t="shared" si="16"/>
        <v>0</v>
      </c>
      <c r="AM96" s="43"/>
      <c r="AN96" s="45" t="str">
        <f t="shared" si="17"/>
        <v>Olennainen</v>
      </c>
    </row>
    <row r="97" spans="1:40 16345:16383" ht="37.5">
      <c r="A97" s="5" t="s">
        <v>35</v>
      </c>
      <c r="B97" s="5" t="s">
        <v>771</v>
      </c>
      <c r="C97" s="22" t="s">
        <v>872</v>
      </c>
      <c r="D97" s="22" t="s">
        <v>810</v>
      </c>
      <c r="E97" s="17" t="s">
        <v>25</v>
      </c>
      <c r="F97" s="17" t="s">
        <v>27</v>
      </c>
      <c r="G97" s="17" t="s">
        <v>27</v>
      </c>
      <c r="H97" s="17" t="s">
        <v>260</v>
      </c>
      <c r="I97" s="17"/>
      <c r="J97" s="17" t="s">
        <v>511</v>
      </c>
      <c r="K97" s="17" t="s">
        <v>773</v>
      </c>
      <c r="L97" s="32" t="s">
        <v>873</v>
      </c>
      <c r="M97" s="61" t="s">
        <v>874</v>
      </c>
      <c r="N97" s="23"/>
      <c r="O97" s="23"/>
      <c r="P97" s="9" t="s">
        <v>875</v>
      </c>
      <c r="Q97" s="9" t="s">
        <v>876</v>
      </c>
      <c r="R97" s="9" t="s">
        <v>877</v>
      </c>
      <c r="S97" s="9" t="s">
        <v>860</v>
      </c>
      <c r="U97" s="42" t="str">
        <f t="shared" si="9"/>
        <v>TEK-04.3, L:Julkinen, E:Vähäinen, S:Vähäinen, TS:Henkilötieto</v>
      </c>
      <c r="V97" s="46" t="str">
        <f t="shared" si="10"/>
        <v>Julkri: HAL-2.1; Katakri: I-04</v>
      </c>
      <c r="W97" s="46">
        <f>IFERROR(VLOOKUP(A97,Esiehdot!A$11:D$15,4,0), 0)</f>
        <v>1</v>
      </c>
      <c r="X97" s="46">
        <f>IF(Esiehdot!D$4&gt;=IFERROR(VLOOKUP(E97,Valintalistat!D$2:H$7,5,0), 99),1,0)</f>
        <v>1</v>
      </c>
      <c r="Y97" s="46">
        <f>IF(Esiehdot!D$5&gt;=IFERROR(VLOOKUP(F97,Valintalistat!E$2:H$5,4,0), 99),1,0)</f>
        <v>1</v>
      </c>
      <c r="Z97" s="46">
        <f>IF(Esiehdot!D$6&gt;=IFERROR(VLOOKUP(G97,Valintalistat!F$2:H$5,3,0),99),1,0)</f>
        <v>1</v>
      </c>
      <c r="AA97" s="46">
        <f>IF(Esiehdot!D$8&gt;=IFERROR(VLOOKUP(H97,Valintalistat!G$2:H$5,2,0),99),1,0)</f>
        <v>0</v>
      </c>
      <c r="AB97" s="46">
        <f t="shared" si="11"/>
        <v>1</v>
      </c>
      <c r="AC97" s="46">
        <f>IF(Esiehdot!E$4=IFERROR(VLOOKUP(E97,Valintalistat!D$2:H$7,5,0),99),1,0)</f>
        <v>0</v>
      </c>
      <c r="AD97" s="46">
        <f>IF(Esiehdot!E$5=IFERROR(VLOOKUP(F97,Valintalistat!E$2:H$5,4,0),99),1,0)</f>
        <v>0</v>
      </c>
      <c r="AE97" s="46">
        <f>IF(Esiehdot!E$6=IFERROR(VLOOKUP(G97,Valintalistat!F$2:H$5,3,0),99),1,0)</f>
        <v>0</v>
      </c>
      <c r="AF97" s="46">
        <f>IF(Esiehdot!E$8=IFERROR(VLOOKUP(H97,Valintalistat!G$2:H$3,2,0),98),1,0)</f>
        <v>0</v>
      </c>
      <c r="AG97" s="46">
        <f t="shared" si="12"/>
        <v>0</v>
      </c>
      <c r="AH97" s="46">
        <f>IFERROR(HLOOKUP(Esiehdot!$B$17,Käyttötapauskriteerit!G$1:P97,97,0),1)</f>
        <v>1</v>
      </c>
      <c r="AI97" s="46">
        <f t="shared" si="13"/>
        <v>1</v>
      </c>
      <c r="AJ97" s="46">
        <f t="shared" si="14"/>
        <v>0</v>
      </c>
      <c r="AK97" s="46">
        <f t="shared" si="15"/>
        <v>0</v>
      </c>
      <c r="AL97" s="46">
        <f t="shared" si="16"/>
        <v>0</v>
      </c>
      <c r="AM97" s="46"/>
      <c r="AN97" s="45" t="str">
        <f t="shared" si="17"/>
        <v>Olennainen</v>
      </c>
      <c r="XEK97" s="5"/>
      <c r="XEL97" s="5"/>
      <c r="XEM97" s="22"/>
      <c r="XEN97" s="22"/>
      <c r="XEO97" s="17"/>
      <c r="XEP97" s="17"/>
      <c r="XEQ97" s="17"/>
      <c r="XER97" s="17"/>
      <c r="XES97" s="17"/>
      <c r="XET97" s="17"/>
      <c r="XEU97" s="17"/>
      <c r="XEV97" s="32"/>
      <c r="XEW97" s="23"/>
      <c r="XEX97" s="23"/>
      <c r="XEY97" s="23"/>
      <c r="XEZ97" s="9"/>
      <c r="XFA97" s="9"/>
      <c r="XFB97" s="9"/>
      <c r="XFC97" s="9"/>
    </row>
    <row r="98" spans="1:40 16345:16383" ht="37.5">
      <c r="A98" s="5" t="s">
        <v>35</v>
      </c>
      <c r="B98" s="5" t="s">
        <v>771</v>
      </c>
      <c r="C98" s="22" t="s">
        <v>878</v>
      </c>
      <c r="D98" s="22" t="s">
        <v>810</v>
      </c>
      <c r="E98" s="17" t="s">
        <v>25</v>
      </c>
      <c r="F98" s="17" t="s">
        <v>27</v>
      </c>
      <c r="G98" s="17" t="s">
        <v>27</v>
      </c>
      <c r="H98" s="17" t="s">
        <v>260</v>
      </c>
      <c r="I98" s="17"/>
      <c r="J98" s="17" t="s">
        <v>511</v>
      </c>
      <c r="K98" s="17" t="s">
        <v>773</v>
      </c>
      <c r="L98" s="32" t="s">
        <v>879</v>
      </c>
      <c r="M98" s="61" t="s">
        <v>880</v>
      </c>
      <c r="N98" s="23"/>
      <c r="O98" s="23" t="s">
        <v>881</v>
      </c>
      <c r="P98" s="9" t="s">
        <v>882</v>
      </c>
      <c r="Q98" s="9" t="s">
        <v>883</v>
      </c>
      <c r="R98" s="9"/>
      <c r="S98" s="9" t="s">
        <v>860</v>
      </c>
      <c r="U98" s="42" t="str">
        <f t="shared" si="9"/>
        <v>TEK-04.4, L:Julkinen, E:Vähäinen, S:Vähäinen, TS:Henkilötieto</v>
      </c>
      <c r="V98" s="46" t="str">
        <f t="shared" si="10"/>
        <v>Katakri: I-04</v>
      </c>
      <c r="W98" s="46">
        <f>IFERROR(VLOOKUP(A98,Esiehdot!A$11:D$15,4,0), 0)</f>
        <v>1</v>
      </c>
      <c r="X98" s="46">
        <f>IF(Esiehdot!D$4&gt;=IFERROR(VLOOKUP(E98,Valintalistat!D$2:H$7,5,0), 99),1,0)</f>
        <v>1</v>
      </c>
      <c r="Y98" s="46">
        <f>IF(Esiehdot!D$5&gt;=IFERROR(VLOOKUP(F98,Valintalistat!E$2:H$5,4,0), 99),1,0)</f>
        <v>1</v>
      </c>
      <c r="Z98" s="46">
        <f>IF(Esiehdot!D$6&gt;=IFERROR(VLOOKUP(G98,Valintalistat!F$2:H$5,3,0),99),1,0)</f>
        <v>1</v>
      </c>
      <c r="AA98" s="46">
        <f>IF(Esiehdot!D$8&gt;=IFERROR(VLOOKUP(H98,Valintalistat!G$2:H$5,2,0),99),1,0)</f>
        <v>0</v>
      </c>
      <c r="AB98" s="46">
        <f t="shared" si="11"/>
        <v>1</v>
      </c>
      <c r="AC98" s="46">
        <f>IF(Esiehdot!E$4=IFERROR(VLOOKUP(E98,Valintalistat!D$2:H$7,5,0),99),1,0)</f>
        <v>0</v>
      </c>
      <c r="AD98" s="46">
        <f>IF(Esiehdot!E$5=IFERROR(VLOOKUP(F98,Valintalistat!E$2:H$5,4,0),99),1,0)</f>
        <v>0</v>
      </c>
      <c r="AE98" s="46">
        <f>IF(Esiehdot!E$6=IFERROR(VLOOKUP(G98,Valintalistat!F$2:H$5,3,0),99),1,0)</f>
        <v>0</v>
      </c>
      <c r="AF98" s="46">
        <f>IF(Esiehdot!E$8=IFERROR(VLOOKUP(H98,Valintalistat!G$2:H$3,2,0),98),1,0)</f>
        <v>0</v>
      </c>
      <c r="AG98" s="46">
        <f t="shared" si="12"/>
        <v>0</v>
      </c>
      <c r="AH98" s="46">
        <f>IFERROR(HLOOKUP(Esiehdot!$B$17,Käyttötapauskriteerit!G$1:P98,98,0),1)</f>
        <v>1</v>
      </c>
      <c r="AI98" s="46">
        <f t="shared" si="13"/>
        <v>1</v>
      </c>
      <c r="AJ98" s="46">
        <f t="shared" si="14"/>
        <v>0</v>
      </c>
      <c r="AK98" s="46">
        <f t="shared" si="15"/>
        <v>0</v>
      </c>
      <c r="AL98" s="46">
        <f t="shared" si="16"/>
        <v>0</v>
      </c>
      <c r="AM98" s="46"/>
      <c r="AN98" s="45" t="str">
        <f t="shared" si="17"/>
        <v>Olennainen</v>
      </c>
      <c r="XEK98" s="5"/>
      <c r="XEL98" s="5"/>
      <c r="XEM98" s="22"/>
      <c r="XEN98" s="22"/>
      <c r="XEO98" s="17"/>
      <c r="XEP98" s="17"/>
      <c r="XEQ98" s="17"/>
      <c r="XER98" s="17"/>
      <c r="XES98" s="17"/>
      <c r="XET98" s="17"/>
      <c r="XEU98" s="17"/>
      <c r="XEV98" s="32"/>
      <c r="XEW98" s="23"/>
      <c r="XEX98" s="23"/>
      <c r="XEY98" s="23"/>
      <c r="XEZ98" s="9"/>
      <c r="XFA98" s="9"/>
      <c r="XFB98" s="9"/>
      <c r="XFC98" s="9"/>
    </row>
    <row r="99" spans="1:40 16345:16383" s="24" customFormat="1" ht="50.1">
      <c r="A99" s="5" t="s">
        <v>35</v>
      </c>
      <c r="B99" s="5" t="s">
        <v>771</v>
      </c>
      <c r="C99" s="22" t="s">
        <v>884</v>
      </c>
      <c r="D99" s="22" t="s">
        <v>810</v>
      </c>
      <c r="E99" s="17" t="s">
        <v>554</v>
      </c>
      <c r="F99" s="17"/>
      <c r="G99" s="17"/>
      <c r="H99" s="17"/>
      <c r="I99" s="17"/>
      <c r="J99" s="17" t="s">
        <v>511</v>
      </c>
      <c r="K99" s="17" t="s">
        <v>773</v>
      </c>
      <c r="L99" s="32" t="s">
        <v>885</v>
      </c>
      <c r="M99" s="61" t="s">
        <v>886</v>
      </c>
      <c r="N99" s="23"/>
      <c r="O99" s="23" t="s">
        <v>887</v>
      </c>
      <c r="P99" s="9" t="s">
        <v>888</v>
      </c>
      <c r="Q99" s="9"/>
      <c r="R99" s="9" t="s">
        <v>772</v>
      </c>
      <c r="S99" s="9" t="s">
        <v>860</v>
      </c>
      <c r="U99" s="42" t="str">
        <f t="shared" si="9"/>
        <v>TEK-04.5, L:TL IV, E:, S:, TS:</v>
      </c>
      <c r="V99" s="47" t="str">
        <f t="shared" si="10"/>
        <v>Julkri: TEK-01; Katakri: I-04</v>
      </c>
      <c r="W99" s="47">
        <f>IFERROR(VLOOKUP(A99,Esiehdot!A$11:D$15,4,0), 0)</f>
        <v>1</v>
      </c>
      <c r="X99" s="47">
        <f>IF(Esiehdot!D$4&gt;=IFERROR(VLOOKUP(E99,Valintalistat!D$2:H$7,5,0), 99),1,0)</f>
        <v>0</v>
      </c>
      <c r="Y99" s="47">
        <f>IF(Esiehdot!D$5&gt;=IFERROR(VLOOKUP(F99,Valintalistat!E$2:H$5,4,0), 99),1,0)</f>
        <v>0</v>
      </c>
      <c r="Z99" s="47">
        <f>IF(Esiehdot!D$6&gt;=IFERROR(VLOOKUP(G99,Valintalistat!F$2:H$5,3,0),99),1,0)</f>
        <v>0</v>
      </c>
      <c r="AA99" s="47">
        <f>IF(Esiehdot!D$8&gt;=IFERROR(VLOOKUP(H99,Valintalistat!G$2:H$5,2,0),99),1,0)</f>
        <v>0</v>
      </c>
      <c r="AB99" s="47">
        <f t="shared" si="11"/>
        <v>0</v>
      </c>
      <c r="AC99" s="47">
        <f>IF(Esiehdot!E$4=IFERROR(VLOOKUP(E99,Valintalistat!D$2:H$7,5,0),99),1,0)</f>
        <v>0</v>
      </c>
      <c r="AD99" s="47">
        <f>IF(Esiehdot!E$5=IFERROR(VLOOKUP(F99,Valintalistat!E$2:H$5,4,0),99),1,0)</f>
        <v>0</v>
      </c>
      <c r="AE99" s="47">
        <f>IF(Esiehdot!E$6=IFERROR(VLOOKUP(G99,Valintalistat!F$2:H$5,3,0),99),1,0)</f>
        <v>0</v>
      </c>
      <c r="AF99" s="47">
        <f>IF(Esiehdot!E$8=IFERROR(VLOOKUP(H99,Valintalistat!G$2:H$3,2,0),98),1,0)</f>
        <v>0</v>
      </c>
      <c r="AG99" s="47">
        <f t="shared" si="12"/>
        <v>0</v>
      </c>
      <c r="AH99" s="47">
        <f>IFERROR(HLOOKUP(Esiehdot!$B$17,Käyttötapauskriteerit!G$1:P99,99,0),1)</f>
        <v>1</v>
      </c>
      <c r="AI99" s="47">
        <f t="shared" si="13"/>
        <v>0</v>
      </c>
      <c r="AJ99" s="47">
        <f t="shared" si="14"/>
        <v>0</v>
      </c>
      <c r="AK99" s="47">
        <f t="shared" si="15"/>
        <v>0</v>
      </c>
      <c r="AL99" s="47">
        <f t="shared" si="16"/>
        <v>0</v>
      </c>
      <c r="AM99" s="47"/>
      <c r="AN99" s="45" t="str">
        <f t="shared" si="17"/>
        <v>Ei ehdoteta hankintaan</v>
      </c>
      <c r="XDQ99" s="5"/>
      <c r="XDR99" s="5"/>
      <c r="XDS99" s="22"/>
      <c r="XDT99" s="22"/>
      <c r="XDU99" s="17"/>
      <c r="XDV99" s="17"/>
      <c r="XDW99" s="17"/>
      <c r="XDX99" s="17"/>
      <c r="XDY99" s="17"/>
      <c r="XDZ99" s="17"/>
      <c r="XEA99" s="17"/>
      <c r="XEB99" s="32"/>
      <c r="XEC99" s="23"/>
      <c r="XED99" s="23"/>
      <c r="XEE99" s="23"/>
      <c r="XEF99" s="9"/>
      <c r="XEG99" s="9"/>
      <c r="XEH99" s="9"/>
      <c r="XEI99" s="9"/>
      <c r="XEK99" s="5"/>
      <c r="XEL99" s="5"/>
      <c r="XEM99" s="22"/>
      <c r="XEN99" s="22"/>
      <c r="XEO99" s="17"/>
      <c r="XEP99" s="17"/>
      <c r="XEQ99" s="17"/>
      <c r="XER99" s="17"/>
      <c r="XES99" s="17"/>
      <c r="XET99" s="17"/>
      <c r="XEU99" s="17"/>
      <c r="XEV99" s="32"/>
      <c r="XEW99" s="23"/>
      <c r="XEX99" s="23"/>
      <c r="XEY99" s="23"/>
      <c r="XEZ99" s="9"/>
      <c r="XFA99" s="9"/>
      <c r="XFB99" s="9"/>
      <c r="XFC99" s="9"/>
    </row>
    <row r="100" spans="1:40 16345:16383" ht="62.45">
      <c r="A100" s="5" t="s">
        <v>35</v>
      </c>
      <c r="B100" s="5" t="s">
        <v>771</v>
      </c>
      <c r="C100" s="22" t="s">
        <v>889</v>
      </c>
      <c r="D100" s="22" t="s">
        <v>810</v>
      </c>
      <c r="E100" s="17" t="s">
        <v>554</v>
      </c>
      <c r="F100" s="17"/>
      <c r="G100" s="17"/>
      <c r="H100" s="17"/>
      <c r="I100" s="17"/>
      <c r="J100" s="17" t="s">
        <v>511</v>
      </c>
      <c r="K100" s="17" t="s">
        <v>773</v>
      </c>
      <c r="L100" s="32" t="s">
        <v>890</v>
      </c>
      <c r="M100" s="61" t="s">
        <v>891</v>
      </c>
      <c r="N100" s="23"/>
      <c r="O100" s="23" t="s">
        <v>892</v>
      </c>
      <c r="P100" s="9" t="s">
        <v>803</v>
      </c>
      <c r="Q100" s="9"/>
      <c r="R100" s="9"/>
      <c r="S100" s="9" t="s">
        <v>893</v>
      </c>
      <c r="U100" s="42" t="str">
        <f t="shared" si="9"/>
        <v>TEK-04.6, L:TL IV, E:, S:, TS:</v>
      </c>
      <c r="V100" s="42" t="str">
        <f t="shared" si="10"/>
        <v>Katakri: I-04, I-12</v>
      </c>
      <c r="W100" s="43">
        <f>IFERROR(VLOOKUP(A100,Esiehdot!A$11:D$15,4,0), 0)</f>
        <v>1</v>
      </c>
      <c r="X100" s="44">
        <f>IF(Esiehdot!D$4&gt;=IFERROR(VLOOKUP(E100,Valintalistat!D$2:H$7,5,0), 99),1,0)</f>
        <v>0</v>
      </c>
      <c r="Y100" s="44">
        <f>IF(Esiehdot!D$5&gt;=IFERROR(VLOOKUP(F100,Valintalistat!E$2:H$5,4,0), 99),1,0)</f>
        <v>0</v>
      </c>
      <c r="Z100" s="44">
        <f>IF(Esiehdot!D$6&gt;=IFERROR(VLOOKUP(G100,Valintalistat!F$2:H$5,3,0),99),1,0)</f>
        <v>0</v>
      </c>
      <c r="AA100" s="44">
        <f>IF(Esiehdot!D$8&gt;=IFERROR(VLOOKUP(H100,Valintalistat!G$2:H$5,2,0),99),1,0)</f>
        <v>0</v>
      </c>
      <c r="AB100" s="43">
        <f t="shared" si="11"/>
        <v>0</v>
      </c>
      <c r="AC100" s="44">
        <f>IF(Esiehdot!E$4=IFERROR(VLOOKUP(E100,Valintalistat!D$2:H$7,5,0),99),1,0)</f>
        <v>0</v>
      </c>
      <c r="AD100" s="44">
        <f>IF(Esiehdot!E$5=IFERROR(VLOOKUP(F100,Valintalistat!E$2:H$5,4,0),99),1,0)</f>
        <v>0</v>
      </c>
      <c r="AE100" s="44">
        <f>IF(Esiehdot!E$6=IFERROR(VLOOKUP(G100,Valintalistat!F$2:H$5,3,0),99),1,0)</f>
        <v>0</v>
      </c>
      <c r="AF100" s="44">
        <f>IF(Esiehdot!E$8=IFERROR(VLOOKUP(H100,Valintalistat!G$2:H$3,2,0),98),1,0)</f>
        <v>0</v>
      </c>
      <c r="AG100" s="43">
        <f t="shared" si="12"/>
        <v>0</v>
      </c>
      <c r="AH100" s="43">
        <f>IFERROR(HLOOKUP(Esiehdot!$B$17,Käyttötapauskriteerit!G$1:P100,100,0),1)</f>
        <v>1</v>
      </c>
      <c r="AI100" s="43">
        <f t="shared" si="13"/>
        <v>0</v>
      </c>
      <c r="AJ100" s="43">
        <f t="shared" si="14"/>
        <v>0</v>
      </c>
      <c r="AK100" s="43">
        <f t="shared" si="15"/>
        <v>0</v>
      </c>
      <c r="AL100" s="43">
        <f t="shared" si="16"/>
        <v>0</v>
      </c>
      <c r="AM100" s="43"/>
      <c r="AN100" s="45" t="str">
        <f t="shared" si="17"/>
        <v>Ei ehdoteta hankintaan</v>
      </c>
    </row>
    <row r="101" spans="1:40 16345:16383" s="24" customFormat="1" ht="50.1">
      <c r="A101" s="5" t="s">
        <v>35</v>
      </c>
      <c r="B101" s="5" t="s">
        <v>771</v>
      </c>
      <c r="C101" s="22" t="s">
        <v>894</v>
      </c>
      <c r="D101" s="22" t="s">
        <v>810</v>
      </c>
      <c r="E101" s="17" t="s">
        <v>554</v>
      </c>
      <c r="F101" s="17"/>
      <c r="G101" s="17"/>
      <c r="H101" s="17"/>
      <c r="I101" s="17"/>
      <c r="J101" s="17" t="s">
        <v>511</v>
      </c>
      <c r="K101" s="17" t="s">
        <v>773</v>
      </c>
      <c r="L101" s="32" t="s">
        <v>895</v>
      </c>
      <c r="M101" s="61" t="s">
        <v>896</v>
      </c>
      <c r="N101" s="23"/>
      <c r="O101" s="23" t="s">
        <v>897</v>
      </c>
      <c r="P101" s="9" t="s">
        <v>898</v>
      </c>
      <c r="Q101" s="9"/>
      <c r="R101" s="9"/>
      <c r="S101" s="9" t="s">
        <v>860</v>
      </c>
      <c r="U101" s="42" t="str">
        <f t="shared" si="9"/>
        <v>TEK-04.7, L:TL IV, E:, S:, TS:</v>
      </c>
      <c r="V101" s="47" t="str">
        <f t="shared" si="10"/>
        <v>Katakri: I-04</v>
      </c>
      <c r="W101" s="47">
        <f>IFERROR(VLOOKUP(A101,Esiehdot!A$11:D$15,4,0), 0)</f>
        <v>1</v>
      </c>
      <c r="X101" s="47">
        <f>IF(Esiehdot!D$4&gt;=IFERROR(VLOOKUP(E101,Valintalistat!D$2:H$7,5,0), 99),1,0)</f>
        <v>0</v>
      </c>
      <c r="Y101" s="47">
        <f>IF(Esiehdot!D$5&gt;=IFERROR(VLOOKUP(F101,Valintalistat!E$2:H$5,4,0), 99),1,0)</f>
        <v>0</v>
      </c>
      <c r="Z101" s="47">
        <f>IF(Esiehdot!D$6&gt;=IFERROR(VLOOKUP(G101,Valintalistat!F$2:H$5,3,0),99),1,0)</f>
        <v>0</v>
      </c>
      <c r="AA101" s="47">
        <f>IF(Esiehdot!D$8&gt;=IFERROR(VLOOKUP(H101,Valintalistat!G$2:H$5,2,0),99),1,0)</f>
        <v>0</v>
      </c>
      <c r="AB101" s="47">
        <f t="shared" si="11"/>
        <v>0</v>
      </c>
      <c r="AC101" s="47">
        <f>IF(Esiehdot!E$4=IFERROR(VLOOKUP(E101,Valintalistat!D$2:H$7,5,0),99),1,0)</f>
        <v>0</v>
      </c>
      <c r="AD101" s="47">
        <f>IF(Esiehdot!E$5=IFERROR(VLOOKUP(F101,Valintalistat!E$2:H$5,4,0),99),1,0)</f>
        <v>0</v>
      </c>
      <c r="AE101" s="47">
        <f>IF(Esiehdot!E$6=IFERROR(VLOOKUP(G101,Valintalistat!F$2:H$5,3,0),99),1,0)</f>
        <v>0</v>
      </c>
      <c r="AF101" s="47">
        <f>IF(Esiehdot!E$8=IFERROR(VLOOKUP(H101,Valintalistat!G$2:H$3,2,0),98),1,0)</f>
        <v>0</v>
      </c>
      <c r="AG101" s="47">
        <f t="shared" si="12"/>
        <v>0</v>
      </c>
      <c r="AH101" s="47">
        <f>IFERROR(HLOOKUP(Esiehdot!$B$17,Käyttötapauskriteerit!G$1:P101,101,0),1)</f>
        <v>1</v>
      </c>
      <c r="AI101" s="47">
        <f t="shared" si="13"/>
        <v>0</v>
      </c>
      <c r="AJ101" s="47">
        <f t="shared" si="14"/>
        <v>0</v>
      </c>
      <c r="AK101" s="47">
        <f t="shared" si="15"/>
        <v>0</v>
      </c>
      <c r="AL101" s="47">
        <f t="shared" si="16"/>
        <v>0</v>
      </c>
      <c r="AM101" s="47"/>
      <c r="AN101" s="45" t="str">
        <f t="shared" si="17"/>
        <v>Ei ehdoteta hankintaan</v>
      </c>
      <c r="XDQ101" s="5"/>
      <c r="XDR101" s="5"/>
      <c r="XDS101" s="22"/>
      <c r="XDT101" s="22"/>
      <c r="XDU101" s="17"/>
      <c r="XDV101" s="17"/>
      <c r="XDW101" s="17"/>
      <c r="XDX101" s="17"/>
      <c r="XDY101" s="17"/>
      <c r="XDZ101" s="17"/>
      <c r="XEA101" s="17"/>
      <c r="XEB101" s="32"/>
      <c r="XEC101" s="23"/>
      <c r="XED101" s="23"/>
      <c r="XEE101" s="23"/>
      <c r="XEF101" s="9"/>
      <c r="XEG101" s="9"/>
      <c r="XEH101" s="9"/>
      <c r="XEI101" s="9"/>
      <c r="XEK101" s="5"/>
      <c r="XEL101" s="5"/>
      <c r="XEM101" s="22"/>
      <c r="XEN101" s="22"/>
      <c r="XEO101" s="17"/>
      <c r="XEP101" s="17"/>
      <c r="XEQ101" s="17"/>
      <c r="XER101" s="17"/>
      <c r="XES101" s="17"/>
      <c r="XET101" s="17"/>
      <c r="XEU101" s="17"/>
      <c r="XEV101" s="32"/>
      <c r="XEW101" s="23"/>
      <c r="XEX101" s="23"/>
      <c r="XEY101" s="23"/>
      <c r="XEZ101" s="9"/>
      <c r="XFA101" s="9"/>
      <c r="XFB101" s="9"/>
      <c r="XFC101" s="9"/>
    </row>
    <row r="102" spans="1:40 16345:16383" s="24" customFormat="1" ht="37.5">
      <c r="A102" s="5" t="s">
        <v>35</v>
      </c>
      <c r="B102" s="5" t="s">
        <v>771</v>
      </c>
      <c r="C102" s="22" t="s">
        <v>899</v>
      </c>
      <c r="D102" s="22" t="s">
        <v>810</v>
      </c>
      <c r="E102" s="17" t="s">
        <v>446</v>
      </c>
      <c r="F102" s="17"/>
      <c r="G102" s="17"/>
      <c r="H102" s="17"/>
      <c r="I102" s="17"/>
      <c r="J102" s="17" t="s">
        <v>511</v>
      </c>
      <c r="K102" s="17" t="s">
        <v>773</v>
      </c>
      <c r="L102" s="32" t="s">
        <v>900</v>
      </c>
      <c r="M102" s="61" t="s">
        <v>901</v>
      </c>
      <c r="N102" s="23" t="s">
        <v>902</v>
      </c>
      <c r="O102" s="23" t="s">
        <v>903</v>
      </c>
      <c r="P102" s="9" t="s">
        <v>904</v>
      </c>
      <c r="Q102" s="9"/>
      <c r="R102" s="9"/>
      <c r="S102" s="9" t="s">
        <v>905</v>
      </c>
      <c r="U102" s="42" t="str">
        <f t="shared" si="9"/>
        <v>TEK-04.8, L:TL III, E:, S:, TS:</v>
      </c>
      <c r="V102" s="42" t="str">
        <f t="shared" si="10"/>
        <v>Katakri: I-18</v>
      </c>
      <c r="W102" s="43">
        <f>IFERROR(VLOOKUP(A102,Esiehdot!A$11:D$15,4,0), 0)</f>
        <v>1</v>
      </c>
      <c r="X102" s="44">
        <f>IF(Esiehdot!D$4&gt;=IFERROR(VLOOKUP(E102,Valintalistat!D$2:H$7,5,0), 99),1,0)</f>
        <v>0</v>
      </c>
      <c r="Y102" s="44">
        <f>IF(Esiehdot!D$5&gt;=IFERROR(VLOOKUP(F102,Valintalistat!E$2:H$5,4,0), 99),1,0)</f>
        <v>0</v>
      </c>
      <c r="Z102" s="44">
        <f>IF(Esiehdot!D$6&gt;=IFERROR(VLOOKUP(G102,Valintalistat!F$2:H$5,3,0),99),1,0)</f>
        <v>0</v>
      </c>
      <c r="AA102" s="44">
        <f>IF(Esiehdot!D$8&gt;=IFERROR(VLOOKUP(H102,Valintalistat!G$2:H$5,2,0),99),1,0)</f>
        <v>0</v>
      </c>
      <c r="AB102" s="43">
        <f t="shared" si="11"/>
        <v>0</v>
      </c>
      <c r="AC102" s="44">
        <f>IF(Esiehdot!E$4=IFERROR(VLOOKUP(E102,Valintalistat!D$2:H$7,5,0),99),1,0)</f>
        <v>0</v>
      </c>
      <c r="AD102" s="44">
        <f>IF(Esiehdot!E$5=IFERROR(VLOOKUP(F102,Valintalistat!E$2:H$5,4,0),99),1,0)</f>
        <v>0</v>
      </c>
      <c r="AE102" s="44">
        <f>IF(Esiehdot!E$6=IFERROR(VLOOKUP(G102,Valintalistat!F$2:H$5,3,0),99),1,0)</f>
        <v>0</v>
      </c>
      <c r="AF102" s="44">
        <f>IF(Esiehdot!E$8=IFERROR(VLOOKUP(H102,Valintalistat!G$2:H$3,2,0),98),1,0)</f>
        <v>0</v>
      </c>
      <c r="AG102" s="43">
        <f t="shared" si="12"/>
        <v>0</v>
      </c>
      <c r="AH102" s="43">
        <f>IFERROR(HLOOKUP(Esiehdot!$B$17,Käyttötapauskriteerit!G$1:P102,102,0),1)</f>
        <v>1</v>
      </c>
      <c r="AI102" s="43">
        <f t="shared" si="13"/>
        <v>0</v>
      </c>
      <c r="AJ102" s="43">
        <f t="shared" si="14"/>
        <v>0</v>
      </c>
      <c r="AK102" s="43">
        <f t="shared" si="15"/>
        <v>0</v>
      </c>
      <c r="AL102" s="43">
        <f t="shared" si="16"/>
        <v>0</v>
      </c>
      <c r="AM102" s="43"/>
      <c r="AN102" s="45" t="str">
        <f t="shared" si="17"/>
        <v>Ei ehdoteta hankintaan</v>
      </c>
    </row>
    <row r="103" spans="1:40 16345:16383" s="24" customFormat="1" ht="62.45">
      <c r="A103" s="5" t="s">
        <v>35</v>
      </c>
      <c r="B103" s="5" t="s">
        <v>771</v>
      </c>
      <c r="C103" s="22" t="s">
        <v>906</v>
      </c>
      <c r="D103" s="22"/>
      <c r="E103" s="17" t="s">
        <v>276</v>
      </c>
      <c r="F103" s="17"/>
      <c r="G103" s="17"/>
      <c r="H103" s="17" t="s">
        <v>260</v>
      </c>
      <c r="I103" s="17"/>
      <c r="J103" s="17" t="s">
        <v>511</v>
      </c>
      <c r="K103" s="17" t="s">
        <v>773</v>
      </c>
      <c r="L103" s="32" t="s">
        <v>907</v>
      </c>
      <c r="M103" s="61" t="s">
        <v>908</v>
      </c>
      <c r="N103" s="23" t="s">
        <v>909</v>
      </c>
      <c r="O103" s="23" t="s">
        <v>910</v>
      </c>
      <c r="P103" s="9" t="s">
        <v>803</v>
      </c>
      <c r="Q103" s="9" t="s">
        <v>911</v>
      </c>
      <c r="R103" s="9"/>
      <c r="S103" s="9" t="s">
        <v>912</v>
      </c>
      <c r="U103" s="42" t="str">
        <f t="shared" si="9"/>
        <v>TEK-05, L:Salassa pidettävä, E:, S:, TS:Henkilötieto</v>
      </c>
      <c r="V103" s="42" t="str">
        <f t="shared" si="10"/>
        <v>Katakri: I-05, I-08, I-09, I-12, I-15, I-16</v>
      </c>
      <c r="W103" s="43">
        <f>IFERROR(VLOOKUP(A103,Esiehdot!A$11:D$15,4,0), 0)</f>
        <v>1</v>
      </c>
      <c r="X103" s="44">
        <f>IF(Esiehdot!D$4&gt;=IFERROR(VLOOKUP(E103,Valintalistat!D$2:H$7,5,0), 99),1,0)</f>
        <v>0</v>
      </c>
      <c r="Y103" s="44">
        <f>IF(Esiehdot!D$5&gt;=IFERROR(VLOOKUP(F103,Valintalistat!E$2:H$5,4,0), 99),1,0)</f>
        <v>0</v>
      </c>
      <c r="Z103" s="44">
        <f>IF(Esiehdot!D$6&gt;=IFERROR(VLOOKUP(G103,Valintalistat!F$2:H$5,3,0),99),1,0)</f>
        <v>0</v>
      </c>
      <c r="AA103" s="44">
        <f>IF(Esiehdot!D$8&gt;=IFERROR(VLOOKUP(H103,Valintalistat!G$2:H$5,2,0),99),1,0)</f>
        <v>0</v>
      </c>
      <c r="AB103" s="43">
        <f t="shared" si="11"/>
        <v>0</v>
      </c>
      <c r="AC103" s="44">
        <f>IF(Esiehdot!E$4=IFERROR(VLOOKUP(E103,Valintalistat!D$2:H$7,5,0),99),1,0)</f>
        <v>1</v>
      </c>
      <c r="AD103" s="44">
        <f>IF(Esiehdot!E$5=IFERROR(VLOOKUP(F103,Valintalistat!E$2:H$5,4,0),99),1,0)</f>
        <v>0</v>
      </c>
      <c r="AE103" s="44">
        <f>IF(Esiehdot!E$6=IFERROR(VLOOKUP(G103,Valintalistat!F$2:H$5,3,0),99),1,0)</f>
        <v>0</v>
      </c>
      <c r="AF103" s="44">
        <f>IF(Esiehdot!E$8=IFERROR(VLOOKUP(H103,Valintalistat!G$2:H$3,2,0),98),1,0)</f>
        <v>0</v>
      </c>
      <c r="AG103" s="43">
        <f t="shared" si="12"/>
        <v>1</v>
      </c>
      <c r="AH103" s="43">
        <f>IFERROR(HLOOKUP(Esiehdot!$B$17,Käyttötapauskriteerit!G$1:P103,103,0),1)</f>
        <v>1</v>
      </c>
      <c r="AI103" s="43">
        <f t="shared" si="13"/>
        <v>0</v>
      </c>
      <c r="AJ103" s="43">
        <f t="shared" si="14"/>
        <v>0</v>
      </c>
      <c r="AK103" s="43">
        <f t="shared" si="15"/>
        <v>1</v>
      </c>
      <c r="AL103" s="43">
        <f t="shared" si="16"/>
        <v>0</v>
      </c>
      <c r="AM103" s="43"/>
      <c r="AN103" s="45" t="str">
        <f t="shared" si="17"/>
        <v>Valinnainen</v>
      </c>
    </row>
    <row r="104" spans="1:40 16345:16383" s="24" customFormat="1" ht="50.1">
      <c r="A104" s="5" t="s">
        <v>35</v>
      </c>
      <c r="B104" s="5" t="s">
        <v>771</v>
      </c>
      <c r="C104" s="22" t="s">
        <v>913</v>
      </c>
      <c r="D104" s="22" t="s">
        <v>906</v>
      </c>
      <c r="E104" s="17" t="s">
        <v>554</v>
      </c>
      <c r="F104" s="17"/>
      <c r="G104" s="17"/>
      <c r="H104" s="17"/>
      <c r="I104" s="17"/>
      <c r="J104" s="17" t="s">
        <v>511</v>
      </c>
      <c r="K104" s="17" t="s">
        <v>773</v>
      </c>
      <c r="L104" s="32" t="s">
        <v>914</v>
      </c>
      <c r="M104" s="61" t="s">
        <v>915</v>
      </c>
      <c r="N104" s="23" t="s">
        <v>916</v>
      </c>
      <c r="O104" s="23" t="s">
        <v>917</v>
      </c>
      <c r="P104" s="9" t="s">
        <v>918</v>
      </c>
      <c r="Q104" s="9" t="s">
        <v>919</v>
      </c>
      <c r="R104" s="9"/>
      <c r="S104" s="9" t="s">
        <v>920</v>
      </c>
      <c r="U104" s="42" t="str">
        <f t="shared" si="9"/>
        <v>TEK-05.1, L:TL IV, E:, S:, TS:</v>
      </c>
      <c r="V104" s="42" t="str">
        <f t="shared" si="10"/>
        <v>Katakri: I-05</v>
      </c>
      <c r="W104" s="43">
        <f>IFERROR(VLOOKUP(A104,Esiehdot!A$11:D$15,4,0), 0)</f>
        <v>1</v>
      </c>
      <c r="X104" s="44">
        <f>IF(Esiehdot!D$4&gt;=IFERROR(VLOOKUP(E104,Valintalistat!D$2:H$7,5,0), 99),1,0)</f>
        <v>0</v>
      </c>
      <c r="Y104" s="44">
        <f>IF(Esiehdot!D$5&gt;=IFERROR(VLOOKUP(F104,Valintalistat!E$2:H$5,4,0), 99),1,0)</f>
        <v>0</v>
      </c>
      <c r="Z104" s="44">
        <f>IF(Esiehdot!D$6&gt;=IFERROR(VLOOKUP(G104,Valintalistat!F$2:H$5,3,0),99),1,0)</f>
        <v>0</v>
      </c>
      <c r="AA104" s="44">
        <f>IF(Esiehdot!D$8&gt;=IFERROR(VLOOKUP(H104,Valintalistat!G$2:H$5,2,0),99),1,0)</f>
        <v>0</v>
      </c>
      <c r="AB104" s="43">
        <f t="shared" si="11"/>
        <v>0</v>
      </c>
      <c r="AC104" s="44">
        <f>IF(Esiehdot!E$4=IFERROR(VLOOKUP(E104,Valintalistat!D$2:H$7,5,0),99),1,0)</f>
        <v>0</v>
      </c>
      <c r="AD104" s="44">
        <f>IF(Esiehdot!E$5=IFERROR(VLOOKUP(F104,Valintalistat!E$2:H$5,4,0),99),1,0)</f>
        <v>0</v>
      </c>
      <c r="AE104" s="44">
        <f>IF(Esiehdot!E$6=IFERROR(VLOOKUP(G104,Valintalistat!F$2:H$5,3,0),99),1,0)</f>
        <v>0</v>
      </c>
      <c r="AF104" s="44">
        <f>IF(Esiehdot!E$8=IFERROR(VLOOKUP(H104,Valintalistat!G$2:H$3,2,0),98),1,0)</f>
        <v>0</v>
      </c>
      <c r="AG104" s="43">
        <f t="shared" si="12"/>
        <v>0</v>
      </c>
      <c r="AH104" s="43">
        <f>IFERROR(HLOOKUP(Esiehdot!$B$17,Käyttötapauskriteerit!G$1:P104,104,0),1)</f>
        <v>1</v>
      </c>
      <c r="AI104" s="43">
        <f t="shared" si="13"/>
        <v>0</v>
      </c>
      <c r="AJ104" s="43">
        <f t="shared" si="14"/>
        <v>0</v>
      </c>
      <c r="AK104" s="43">
        <f t="shared" si="15"/>
        <v>0</v>
      </c>
      <c r="AL104" s="43">
        <f t="shared" si="16"/>
        <v>0</v>
      </c>
      <c r="AM104" s="43"/>
      <c r="AN104" s="45" t="str">
        <f t="shared" si="17"/>
        <v>Ei ehdoteta hankintaan</v>
      </c>
    </row>
    <row r="105" spans="1:40 16345:16383" s="24" customFormat="1" ht="37.5">
      <c r="A105" s="5" t="s">
        <v>35</v>
      </c>
      <c r="B105" s="5" t="s">
        <v>921</v>
      </c>
      <c r="C105" s="22" t="s">
        <v>922</v>
      </c>
      <c r="D105" s="22"/>
      <c r="E105" s="17" t="s">
        <v>276</v>
      </c>
      <c r="F105" s="17"/>
      <c r="G105" s="17"/>
      <c r="H105" s="17" t="s">
        <v>260</v>
      </c>
      <c r="I105" s="17"/>
      <c r="J105" s="17"/>
      <c r="K105" s="17" t="s">
        <v>773</v>
      </c>
      <c r="L105" s="32" t="s">
        <v>923</v>
      </c>
      <c r="M105" s="61" t="s">
        <v>924</v>
      </c>
      <c r="N105" s="23" t="s">
        <v>925</v>
      </c>
      <c r="O105" s="23"/>
      <c r="P105" s="9" t="s">
        <v>926</v>
      </c>
      <c r="Q105" s="9" t="s">
        <v>927</v>
      </c>
      <c r="R105" s="9" t="s">
        <v>310</v>
      </c>
      <c r="S105" s="9"/>
      <c r="U105" s="42" t="str">
        <f t="shared" si="9"/>
        <v>TEK-06, L:Salassa pidettävä, E:, S:, TS:Henkilötieto</v>
      </c>
      <c r="V105" s="42" t="str">
        <f t="shared" si="10"/>
        <v>Julkri: HAL-04.3</v>
      </c>
      <c r="W105" s="43">
        <f>IFERROR(VLOOKUP(A105,Esiehdot!A$11:D$15,4,0), 0)</f>
        <v>1</v>
      </c>
      <c r="X105" s="44">
        <f>IF(Esiehdot!D$4&gt;=IFERROR(VLOOKUP(E105,Valintalistat!D$2:H$7,5,0), 99),1,0)</f>
        <v>0</v>
      </c>
      <c r="Y105" s="44">
        <f>IF(Esiehdot!D$5&gt;=IFERROR(VLOOKUP(F105,Valintalistat!E$2:H$5,4,0), 99),1,0)</f>
        <v>0</v>
      </c>
      <c r="Z105" s="44">
        <f>IF(Esiehdot!D$6&gt;=IFERROR(VLOOKUP(G105,Valintalistat!F$2:H$5,3,0),99),1,0)</f>
        <v>0</v>
      </c>
      <c r="AA105" s="44">
        <f>IF(Esiehdot!D$8&gt;=IFERROR(VLOOKUP(H105,Valintalistat!G$2:H$5,2,0),99),1,0)</f>
        <v>0</v>
      </c>
      <c r="AB105" s="43">
        <f t="shared" si="11"/>
        <v>0</v>
      </c>
      <c r="AC105" s="44">
        <f>IF(Esiehdot!E$4=IFERROR(VLOOKUP(E105,Valintalistat!D$2:H$7,5,0),99),1,0)</f>
        <v>1</v>
      </c>
      <c r="AD105" s="44">
        <f>IF(Esiehdot!E$5=IFERROR(VLOOKUP(F105,Valintalistat!E$2:H$5,4,0),99),1,0)</f>
        <v>0</v>
      </c>
      <c r="AE105" s="44">
        <f>IF(Esiehdot!E$6=IFERROR(VLOOKUP(G105,Valintalistat!F$2:H$5,3,0),99),1,0)</f>
        <v>0</v>
      </c>
      <c r="AF105" s="44">
        <f>IF(Esiehdot!E$8=IFERROR(VLOOKUP(H105,Valintalistat!G$2:H$3,2,0),98),1,0)</f>
        <v>0</v>
      </c>
      <c r="AG105" s="43">
        <f t="shared" si="12"/>
        <v>1</v>
      </c>
      <c r="AH105" s="43">
        <f>IFERROR(HLOOKUP(Esiehdot!$B$17,Käyttötapauskriteerit!G$1:P105,105,0),1)</f>
        <v>1</v>
      </c>
      <c r="AI105" s="43">
        <f t="shared" si="13"/>
        <v>0</v>
      </c>
      <c r="AJ105" s="43">
        <f t="shared" si="14"/>
        <v>0</v>
      </c>
      <c r="AK105" s="43">
        <f t="shared" si="15"/>
        <v>1</v>
      </c>
      <c r="AL105" s="43">
        <f t="shared" si="16"/>
        <v>0</v>
      </c>
      <c r="AM105" s="43"/>
      <c r="AN105" s="45" t="str">
        <f t="shared" si="17"/>
        <v>Valinnainen</v>
      </c>
    </row>
    <row r="106" spans="1:40 16345:16383" s="24" customFormat="1" ht="24.95">
      <c r="A106" s="5" t="s">
        <v>35</v>
      </c>
      <c r="B106" s="5" t="s">
        <v>921</v>
      </c>
      <c r="C106" s="22" t="s">
        <v>928</v>
      </c>
      <c r="D106" s="22"/>
      <c r="E106" s="17" t="s">
        <v>25</v>
      </c>
      <c r="F106" s="17" t="s">
        <v>27</v>
      </c>
      <c r="G106" s="17" t="s">
        <v>27</v>
      </c>
      <c r="H106" s="17" t="s">
        <v>260</v>
      </c>
      <c r="I106" s="17"/>
      <c r="J106" s="17" t="s">
        <v>511</v>
      </c>
      <c r="K106" s="17" t="s">
        <v>773</v>
      </c>
      <c r="L106" s="32" t="s">
        <v>929</v>
      </c>
      <c r="M106" s="61" t="s">
        <v>930</v>
      </c>
      <c r="N106" s="23" t="s">
        <v>931</v>
      </c>
      <c r="O106" s="23" t="s">
        <v>932</v>
      </c>
      <c r="P106" s="9" t="s">
        <v>933</v>
      </c>
      <c r="Q106" s="9" t="s">
        <v>927</v>
      </c>
      <c r="R106" s="9" t="s">
        <v>934</v>
      </c>
      <c r="S106" s="9" t="s">
        <v>284</v>
      </c>
      <c r="U106" s="42" t="str">
        <f t="shared" si="9"/>
        <v>TEK-07, L:Julkinen, E:Vähäinen, S:Vähäinen, TS:Henkilötieto</v>
      </c>
      <c r="V106" s="42" t="str">
        <f t="shared" si="10"/>
        <v>Julkri: HAL-14, HAL-14.1, HAL-19; Katakri: I-06</v>
      </c>
      <c r="W106" s="43">
        <f>IFERROR(VLOOKUP(A106,Esiehdot!A$11:D$15,4,0), 0)</f>
        <v>1</v>
      </c>
      <c r="X106" s="44">
        <f>IF(Esiehdot!D$4&gt;=IFERROR(VLOOKUP(E106,Valintalistat!D$2:H$7,5,0), 99),1,0)</f>
        <v>1</v>
      </c>
      <c r="Y106" s="44">
        <f>IF(Esiehdot!D$5&gt;=IFERROR(VLOOKUP(F106,Valintalistat!E$2:H$5,4,0), 99),1,0)</f>
        <v>1</v>
      </c>
      <c r="Z106" s="44">
        <f>IF(Esiehdot!D$6&gt;=IFERROR(VLOOKUP(G106,Valintalistat!F$2:H$5,3,0),99),1,0)</f>
        <v>1</v>
      </c>
      <c r="AA106" s="44">
        <f>IF(Esiehdot!D$8&gt;=IFERROR(VLOOKUP(H106,Valintalistat!G$2:H$5,2,0),99),1,0)</f>
        <v>0</v>
      </c>
      <c r="AB106" s="43">
        <f t="shared" si="11"/>
        <v>1</v>
      </c>
      <c r="AC106" s="44">
        <f>IF(Esiehdot!E$4=IFERROR(VLOOKUP(E106,Valintalistat!D$2:H$7,5,0),99),1,0)</f>
        <v>0</v>
      </c>
      <c r="AD106" s="44">
        <f>IF(Esiehdot!E$5=IFERROR(VLOOKUP(F106,Valintalistat!E$2:H$5,4,0),99),1,0)</f>
        <v>0</v>
      </c>
      <c r="AE106" s="44">
        <f>IF(Esiehdot!E$6=IFERROR(VLOOKUP(G106,Valintalistat!F$2:H$5,3,0),99),1,0)</f>
        <v>0</v>
      </c>
      <c r="AF106" s="44">
        <f>IF(Esiehdot!E$8=IFERROR(VLOOKUP(H106,Valintalistat!G$2:H$3,2,0),98),1,0)</f>
        <v>0</v>
      </c>
      <c r="AG106" s="43">
        <f t="shared" si="12"/>
        <v>0</v>
      </c>
      <c r="AH106" s="43">
        <f>IFERROR(HLOOKUP(Esiehdot!$B$17,Käyttötapauskriteerit!G$1:P106,106,0),1)</f>
        <v>1</v>
      </c>
      <c r="AI106" s="43">
        <f t="shared" si="13"/>
        <v>1</v>
      </c>
      <c r="AJ106" s="43">
        <f t="shared" si="14"/>
        <v>0</v>
      </c>
      <c r="AK106" s="43">
        <f t="shared" si="15"/>
        <v>0</v>
      </c>
      <c r="AL106" s="43">
        <f t="shared" si="16"/>
        <v>0</v>
      </c>
      <c r="AM106" s="43"/>
      <c r="AN106" s="45" t="str">
        <f t="shared" si="17"/>
        <v>Olennainen</v>
      </c>
    </row>
    <row r="107" spans="1:40 16345:16383" s="24" customFormat="1" ht="37.5">
      <c r="A107" s="5" t="s">
        <v>35</v>
      </c>
      <c r="B107" s="5" t="s">
        <v>921</v>
      </c>
      <c r="C107" s="22" t="s">
        <v>935</v>
      </c>
      <c r="D107" s="22" t="s">
        <v>928</v>
      </c>
      <c r="E107" s="17" t="s">
        <v>25</v>
      </c>
      <c r="F107" s="17" t="s">
        <v>27</v>
      </c>
      <c r="G107" s="17" t="s">
        <v>27</v>
      </c>
      <c r="H107" s="17" t="s">
        <v>260</v>
      </c>
      <c r="I107" s="17"/>
      <c r="J107" s="17" t="s">
        <v>511</v>
      </c>
      <c r="K107" s="17" t="s">
        <v>773</v>
      </c>
      <c r="L107" s="32" t="s">
        <v>936</v>
      </c>
      <c r="M107" s="61" t="s">
        <v>937</v>
      </c>
      <c r="N107" s="23" t="s">
        <v>938</v>
      </c>
      <c r="O107" s="23" t="s">
        <v>939</v>
      </c>
      <c r="P107" s="9" t="s">
        <v>940</v>
      </c>
      <c r="Q107" s="9" t="s">
        <v>927</v>
      </c>
      <c r="R107" s="9" t="s">
        <v>941</v>
      </c>
      <c r="S107" s="9" t="s">
        <v>284</v>
      </c>
      <c r="U107" s="42" t="str">
        <f t="shared" si="9"/>
        <v>TEK-07.1, L:Julkinen, E:Vähäinen, S:Vähäinen, TS:Henkilötieto</v>
      </c>
      <c r="V107" s="42" t="str">
        <f t="shared" si="10"/>
        <v>Julkri: HAL-14, HAL-10.1; Katakri: I-06</v>
      </c>
      <c r="W107" s="43">
        <f>IFERROR(VLOOKUP(A107,Esiehdot!A$11:D$15,4,0), 0)</f>
        <v>1</v>
      </c>
      <c r="X107" s="44">
        <f>IF(Esiehdot!D$4&gt;=IFERROR(VLOOKUP(E107,Valintalistat!D$2:H$7,5,0), 99),1,0)</f>
        <v>1</v>
      </c>
      <c r="Y107" s="44">
        <f>IF(Esiehdot!D$5&gt;=IFERROR(VLOOKUP(F107,Valintalistat!E$2:H$5,4,0), 99),1,0)</f>
        <v>1</v>
      </c>
      <c r="Z107" s="44">
        <f>IF(Esiehdot!D$6&gt;=IFERROR(VLOOKUP(G107,Valintalistat!F$2:H$5,3,0),99),1,0)</f>
        <v>1</v>
      </c>
      <c r="AA107" s="44">
        <f>IF(Esiehdot!D$8&gt;=IFERROR(VLOOKUP(H107,Valintalistat!G$2:H$5,2,0),99),1,0)</f>
        <v>0</v>
      </c>
      <c r="AB107" s="43">
        <f t="shared" si="11"/>
        <v>1</v>
      </c>
      <c r="AC107" s="44">
        <f>IF(Esiehdot!E$4=IFERROR(VLOOKUP(E107,Valintalistat!D$2:H$7,5,0),99),1,0)</f>
        <v>0</v>
      </c>
      <c r="AD107" s="44">
        <f>IF(Esiehdot!E$5=IFERROR(VLOOKUP(F107,Valintalistat!E$2:H$5,4,0),99),1,0)</f>
        <v>0</v>
      </c>
      <c r="AE107" s="44">
        <f>IF(Esiehdot!E$6=IFERROR(VLOOKUP(G107,Valintalistat!F$2:H$5,3,0),99),1,0)</f>
        <v>0</v>
      </c>
      <c r="AF107" s="44">
        <f>IF(Esiehdot!E$8=IFERROR(VLOOKUP(H107,Valintalistat!G$2:H$3,2,0),98),1,0)</f>
        <v>0</v>
      </c>
      <c r="AG107" s="43">
        <f t="shared" si="12"/>
        <v>0</v>
      </c>
      <c r="AH107" s="43">
        <f>IFERROR(HLOOKUP(Esiehdot!$B$17,Käyttötapauskriteerit!G$1:P107,107,0),1)</f>
        <v>1</v>
      </c>
      <c r="AI107" s="43">
        <f t="shared" si="13"/>
        <v>1</v>
      </c>
      <c r="AJ107" s="43">
        <f t="shared" si="14"/>
        <v>0</v>
      </c>
      <c r="AK107" s="43">
        <f t="shared" si="15"/>
        <v>0</v>
      </c>
      <c r="AL107" s="43">
        <f t="shared" si="16"/>
        <v>0</v>
      </c>
      <c r="AM107" s="43"/>
      <c r="AN107" s="45" t="str">
        <f t="shared" si="17"/>
        <v>Olennainen</v>
      </c>
    </row>
    <row r="108" spans="1:40 16345:16383" s="24" customFormat="1" ht="62.45">
      <c r="A108" s="5" t="s">
        <v>35</v>
      </c>
      <c r="B108" s="5" t="s">
        <v>921</v>
      </c>
      <c r="C108" s="22" t="s">
        <v>942</v>
      </c>
      <c r="D108" s="22" t="s">
        <v>928</v>
      </c>
      <c r="E108" s="17" t="s">
        <v>25</v>
      </c>
      <c r="F108" s="17" t="s">
        <v>27</v>
      </c>
      <c r="G108" s="17" t="s">
        <v>27</v>
      </c>
      <c r="H108" s="17" t="s">
        <v>260</v>
      </c>
      <c r="I108" s="17"/>
      <c r="J108" s="17" t="s">
        <v>511</v>
      </c>
      <c r="K108" s="17" t="s">
        <v>773</v>
      </c>
      <c r="L108" s="32" t="s">
        <v>943</v>
      </c>
      <c r="M108" s="61" t="s">
        <v>944</v>
      </c>
      <c r="N108" s="23" t="s">
        <v>945</v>
      </c>
      <c r="O108" s="23" t="s">
        <v>946</v>
      </c>
      <c r="P108" s="9" t="s">
        <v>947</v>
      </c>
      <c r="Q108" s="9" t="s">
        <v>948</v>
      </c>
      <c r="R108" s="9"/>
      <c r="S108" s="9" t="s">
        <v>284</v>
      </c>
      <c r="U108" s="42" t="str">
        <f t="shared" si="9"/>
        <v>TEK-07.2, L:Julkinen, E:Vähäinen, S:Vähäinen, TS:Henkilötieto</v>
      </c>
      <c r="V108" s="47" t="str">
        <f t="shared" si="10"/>
        <v>Katakri: I-06</v>
      </c>
      <c r="W108" s="47">
        <f>IFERROR(VLOOKUP(A108,Esiehdot!A$11:D$15,4,0), 0)</f>
        <v>1</v>
      </c>
      <c r="X108" s="47">
        <f>IF(Esiehdot!D$4&gt;=IFERROR(VLOOKUP(E108,Valintalistat!D$2:H$7,5,0), 99),1,0)</f>
        <v>1</v>
      </c>
      <c r="Y108" s="47">
        <f>IF(Esiehdot!D$5&gt;=IFERROR(VLOOKUP(F108,Valintalistat!E$2:H$5,4,0), 99),1,0)</f>
        <v>1</v>
      </c>
      <c r="Z108" s="47">
        <f>IF(Esiehdot!D$6&gt;=IFERROR(VLOOKUP(G108,Valintalistat!F$2:H$5,3,0),99),1,0)</f>
        <v>1</v>
      </c>
      <c r="AA108" s="47">
        <f>IF(Esiehdot!D$8&gt;=IFERROR(VLOOKUP(H108,Valintalistat!G$2:H$5,2,0),99),1,0)</f>
        <v>0</v>
      </c>
      <c r="AB108" s="47">
        <f t="shared" si="11"/>
        <v>1</v>
      </c>
      <c r="AC108" s="47">
        <f>IF(Esiehdot!E$4=IFERROR(VLOOKUP(E108,Valintalistat!D$2:H$7,5,0),99),1,0)</f>
        <v>0</v>
      </c>
      <c r="AD108" s="47">
        <f>IF(Esiehdot!E$5=IFERROR(VLOOKUP(F108,Valintalistat!E$2:H$5,4,0),99),1,0)</f>
        <v>0</v>
      </c>
      <c r="AE108" s="47">
        <f>IF(Esiehdot!E$6=IFERROR(VLOOKUP(G108,Valintalistat!F$2:H$5,3,0),99),1,0)</f>
        <v>0</v>
      </c>
      <c r="AF108" s="47">
        <f>IF(Esiehdot!E$8=IFERROR(VLOOKUP(H108,Valintalistat!G$2:H$3,2,0),98),1,0)</f>
        <v>0</v>
      </c>
      <c r="AG108" s="47">
        <f t="shared" si="12"/>
        <v>0</v>
      </c>
      <c r="AH108" s="47">
        <f>IFERROR(HLOOKUP(Esiehdot!$B$17,Käyttötapauskriteerit!G$1:P108,108,0),1)</f>
        <v>1</v>
      </c>
      <c r="AI108" s="47">
        <f t="shared" si="13"/>
        <v>1</v>
      </c>
      <c r="AJ108" s="47">
        <f t="shared" si="14"/>
        <v>0</v>
      </c>
      <c r="AK108" s="47">
        <f t="shared" si="15"/>
        <v>0</v>
      </c>
      <c r="AL108" s="47">
        <f t="shared" si="16"/>
        <v>0</v>
      </c>
      <c r="AM108" s="47"/>
      <c r="AN108" s="45" t="str">
        <f t="shared" si="17"/>
        <v>Olennainen</v>
      </c>
      <c r="XEK108" s="5"/>
      <c r="XEL108" s="5"/>
      <c r="XEM108" s="22"/>
      <c r="XEN108" s="22"/>
      <c r="XEO108" s="17"/>
      <c r="XEP108" s="17"/>
      <c r="XEQ108" s="17"/>
      <c r="XER108" s="17"/>
      <c r="XES108" s="17"/>
      <c r="XET108" s="17"/>
      <c r="XEU108" s="17"/>
      <c r="XEV108" s="32"/>
      <c r="XEW108" s="23"/>
      <c r="XEX108" s="23"/>
      <c r="XEY108" s="23"/>
      <c r="XEZ108" s="9"/>
      <c r="XFA108" s="9"/>
      <c r="XFB108" s="9"/>
      <c r="XFC108" s="9"/>
    </row>
    <row r="109" spans="1:40 16345:16383" s="24" customFormat="1" ht="24.95">
      <c r="A109" s="5" t="s">
        <v>35</v>
      </c>
      <c r="B109" s="5" t="s">
        <v>921</v>
      </c>
      <c r="C109" s="22" t="s">
        <v>949</v>
      </c>
      <c r="D109" s="22" t="s">
        <v>928</v>
      </c>
      <c r="E109" s="17" t="s">
        <v>25</v>
      </c>
      <c r="F109" s="17" t="s">
        <v>27</v>
      </c>
      <c r="G109" s="17" t="s">
        <v>27</v>
      </c>
      <c r="H109" s="17" t="s">
        <v>260</v>
      </c>
      <c r="I109" s="17"/>
      <c r="J109" s="17" t="s">
        <v>511</v>
      </c>
      <c r="K109" s="17" t="s">
        <v>773</v>
      </c>
      <c r="L109" s="32" t="s">
        <v>950</v>
      </c>
      <c r="M109" s="61" t="s">
        <v>951</v>
      </c>
      <c r="N109" s="23"/>
      <c r="O109" s="23" t="s">
        <v>952</v>
      </c>
      <c r="P109" s="9" t="s">
        <v>953</v>
      </c>
      <c r="Q109" s="9" t="s">
        <v>927</v>
      </c>
      <c r="R109" s="9" t="s">
        <v>445</v>
      </c>
      <c r="S109" s="9" t="s">
        <v>284</v>
      </c>
      <c r="U109" s="42" t="str">
        <f t="shared" si="9"/>
        <v>TEK-07.3, L:Julkinen, E:Vähäinen, S:Vähäinen, TS:Henkilötieto</v>
      </c>
      <c r="V109" s="42" t="str">
        <f t="shared" si="10"/>
        <v>Julkri: HAL-14.1; Katakri: I-06</v>
      </c>
      <c r="W109" s="43">
        <f>IFERROR(VLOOKUP(A109,Esiehdot!A$11:D$15,4,0), 0)</f>
        <v>1</v>
      </c>
      <c r="X109" s="44">
        <f>IF(Esiehdot!D$4&gt;=IFERROR(VLOOKUP(E109,Valintalistat!D$2:H$7,5,0), 99),1,0)</f>
        <v>1</v>
      </c>
      <c r="Y109" s="44">
        <f>IF(Esiehdot!D$5&gt;=IFERROR(VLOOKUP(F109,Valintalistat!E$2:H$5,4,0), 99),1,0)</f>
        <v>1</v>
      </c>
      <c r="Z109" s="44">
        <f>IF(Esiehdot!D$6&gt;=IFERROR(VLOOKUP(G109,Valintalistat!F$2:H$5,3,0),99),1,0)</f>
        <v>1</v>
      </c>
      <c r="AA109" s="44">
        <f>IF(Esiehdot!D$8&gt;=IFERROR(VLOOKUP(H109,Valintalistat!G$2:H$5,2,0),99),1,0)</f>
        <v>0</v>
      </c>
      <c r="AB109" s="43">
        <f t="shared" si="11"/>
        <v>1</v>
      </c>
      <c r="AC109" s="44">
        <f>IF(Esiehdot!E$4=IFERROR(VLOOKUP(E109,Valintalistat!D$2:H$7,5,0),99),1,0)</f>
        <v>0</v>
      </c>
      <c r="AD109" s="44">
        <f>IF(Esiehdot!E$5=IFERROR(VLOOKUP(F109,Valintalistat!E$2:H$5,4,0),99),1,0)</f>
        <v>0</v>
      </c>
      <c r="AE109" s="44">
        <f>IF(Esiehdot!E$6=IFERROR(VLOOKUP(G109,Valintalistat!F$2:H$5,3,0),99),1,0)</f>
        <v>0</v>
      </c>
      <c r="AF109" s="44">
        <f>IF(Esiehdot!E$8=IFERROR(VLOOKUP(H109,Valintalistat!G$2:H$3,2,0),98),1,0)</f>
        <v>0</v>
      </c>
      <c r="AG109" s="43">
        <f t="shared" si="12"/>
        <v>0</v>
      </c>
      <c r="AH109" s="43">
        <f>IFERROR(HLOOKUP(Esiehdot!$B$17,Käyttötapauskriteerit!G$1:P109,109,0),1)</f>
        <v>1</v>
      </c>
      <c r="AI109" s="43">
        <f t="shared" si="13"/>
        <v>1</v>
      </c>
      <c r="AJ109" s="43">
        <f t="shared" si="14"/>
        <v>0</v>
      </c>
      <c r="AK109" s="43">
        <f t="shared" si="15"/>
        <v>0</v>
      </c>
      <c r="AL109" s="43">
        <f t="shared" si="16"/>
        <v>0</v>
      </c>
      <c r="AM109" s="43"/>
      <c r="AN109" s="45" t="str">
        <f t="shared" si="17"/>
        <v>Olennainen</v>
      </c>
    </row>
    <row r="110" spans="1:40 16345:16383" s="24" customFormat="1" ht="24.95">
      <c r="A110" s="5" t="s">
        <v>35</v>
      </c>
      <c r="B110" s="5" t="s">
        <v>921</v>
      </c>
      <c r="C110" s="22" t="s">
        <v>954</v>
      </c>
      <c r="D110" s="22" t="s">
        <v>928</v>
      </c>
      <c r="E110" s="17" t="s">
        <v>554</v>
      </c>
      <c r="F110" s="17"/>
      <c r="G110" s="17"/>
      <c r="H110" s="17"/>
      <c r="I110" s="17"/>
      <c r="J110" s="17" t="s">
        <v>511</v>
      </c>
      <c r="K110" s="17" t="s">
        <v>773</v>
      </c>
      <c r="L110" s="32" t="s">
        <v>955</v>
      </c>
      <c r="M110" s="61" t="s">
        <v>721</v>
      </c>
      <c r="N110" s="23"/>
      <c r="O110" s="23" t="s">
        <v>956</v>
      </c>
      <c r="P110" s="9" t="s">
        <v>888</v>
      </c>
      <c r="Q110" s="9"/>
      <c r="R110" s="9"/>
      <c r="S110" s="9" t="s">
        <v>284</v>
      </c>
      <c r="U110" s="42" t="str">
        <f t="shared" si="9"/>
        <v>TEK-07.4, L:TL IV, E:, S:, TS:</v>
      </c>
      <c r="V110" s="42" t="str">
        <f t="shared" si="10"/>
        <v>Katakri: I-06</v>
      </c>
      <c r="W110" s="43">
        <f>IFERROR(VLOOKUP(A110,Esiehdot!A$11:D$15,4,0), 0)</f>
        <v>1</v>
      </c>
      <c r="X110" s="44">
        <f>IF(Esiehdot!D$4&gt;=IFERROR(VLOOKUP(E110,Valintalistat!D$2:H$7,5,0), 99),1,0)</f>
        <v>0</v>
      </c>
      <c r="Y110" s="44">
        <f>IF(Esiehdot!D$5&gt;=IFERROR(VLOOKUP(F110,Valintalistat!E$2:H$5,4,0), 99),1,0)</f>
        <v>0</v>
      </c>
      <c r="Z110" s="44">
        <f>IF(Esiehdot!D$6&gt;=IFERROR(VLOOKUP(G110,Valintalistat!F$2:H$5,3,0),99),1,0)</f>
        <v>0</v>
      </c>
      <c r="AA110" s="44">
        <f>IF(Esiehdot!D$8&gt;=IFERROR(VLOOKUP(H110,Valintalistat!G$2:H$5,2,0),99),1,0)</f>
        <v>0</v>
      </c>
      <c r="AB110" s="43">
        <f t="shared" si="11"/>
        <v>0</v>
      </c>
      <c r="AC110" s="44">
        <f>IF(Esiehdot!E$4=IFERROR(VLOOKUP(E110,Valintalistat!D$2:H$7,5,0),99),1,0)</f>
        <v>0</v>
      </c>
      <c r="AD110" s="44">
        <f>IF(Esiehdot!E$5=IFERROR(VLOOKUP(F110,Valintalistat!E$2:H$5,4,0),99),1,0)</f>
        <v>0</v>
      </c>
      <c r="AE110" s="44">
        <f>IF(Esiehdot!E$6=IFERROR(VLOOKUP(G110,Valintalistat!F$2:H$5,3,0),99),1,0)</f>
        <v>0</v>
      </c>
      <c r="AF110" s="44">
        <f>IF(Esiehdot!E$8=IFERROR(VLOOKUP(H110,Valintalistat!G$2:H$3,2,0),98),1,0)</f>
        <v>0</v>
      </c>
      <c r="AG110" s="43">
        <f t="shared" si="12"/>
        <v>0</v>
      </c>
      <c r="AH110" s="43">
        <f>IFERROR(HLOOKUP(Esiehdot!$B$17,Käyttötapauskriteerit!G$1:P110,110,0),1)</f>
        <v>1</v>
      </c>
      <c r="AI110" s="43">
        <f t="shared" si="13"/>
        <v>0</v>
      </c>
      <c r="AJ110" s="43">
        <f t="shared" si="14"/>
        <v>0</v>
      </c>
      <c r="AK110" s="43">
        <f t="shared" si="15"/>
        <v>0</v>
      </c>
      <c r="AL110" s="43">
        <f t="shared" si="16"/>
        <v>0</v>
      </c>
      <c r="AM110" s="43"/>
      <c r="AN110" s="45" t="str">
        <f t="shared" si="17"/>
        <v>Ei ehdoteta hankintaan</v>
      </c>
    </row>
    <row r="111" spans="1:40 16345:16383" s="24" customFormat="1" ht="24.95">
      <c r="A111" s="5" t="s">
        <v>35</v>
      </c>
      <c r="B111" s="5" t="s">
        <v>921</v>
      </c>
      <c r="C111" s="22" t="s">
        <v>957</v>
      </c>
      <c r="D111" s="22" t="s">
        <v>928</v>
      </c>
      <c r="E111" s="17" t="s">
        <v>446</v>
      </c>
      <c r="F111" s="17"/>
      <c r="G111" s="17"/>
      <c r="H111" s="17"/>
      <c r="I111" s="17"/>
      <c r="J111" s="17" t="s">
        <v>511</v>
      </c>
      <c r="K111" s="17" t="s">
        <v>773</v>
      </c>
      <c r="L111" s="32" t="s">
        <v>958</v>
      </c>
      <c r="M111" s="61" t="s">
        <v>721</v>
      </c>
      <c r="N111" s="23" t="s">
        <v>959</v>
      </c>
      <c r="O111" s="23" t="s">
        <v>960</v>
      </c>
      <c r="P111" s="9" t="s">
        <v>961</v>
      </c>
      <c r="Q111" s="9"/>
      <c r="R111" s="9" t="s">
        <v>877</v>
      </c>
      <c r="S111" s="9" t="s">
        <v>962</v>
      </c>
      <c r="U111" s="42" t="str">
        <f t="shared" si="9"/>
        <v>TEK-07.5, L:TL III, E:, S:, TS:</v>
      </c>
      <c r="V111" s="42" t="str">
        <f t="shared" si="10"/>
        <v>Julkri: HAL-2.1; Katakri: I-06, I-12</v>
      </c>
      <c r="W111" s="43">
        <f>IFERROR(VLOOKUP(A111,Esiehdot!A$11:D$15,4,0), 0)</f>
        <v>1</v>
      </c>
      <c r="X111" s="44">
        <f>IF(Esiehdot!D$4&gt;=IFERROR(VLOOKUP(E111,Valintalistat!D$2:H$7,5,0), 99),1,0)</f>
        <v>0</v>
      </c>
      <c r="Y111" s="44">
        <f>IF(Esiehdot!D$5&gt;=IFERROR(VLOOKUP(F111,Valintalistat!E$2:H$5,4,0), 99),1,0)</f>
        <v>0</v>
      </c>
      <c r="Z111" s="44">
        <f>IF(Esiehdot!D$6&gt;=IFERROR(VLOOKUP(G111,Valintalistat!F$2:H$5,3,0),99),1,0)</f>
        <v>0</v>
      </c>
      <c r="AA111" s="44">
        <f>IF(Esiehdot!D$8&gt;=IFERROR(VLOOKUP(H111,Valintalistat!G$2:H$5,2,0),99),1,0)</f>
        <v>0</v>
      </c>
      <c r="AB111" s="43">
        <f t="shared" si="11"/>
        <v>0</v>
      </c>
      <c r="AC111" s="44">
        <f>IF(Esiehdot!E$4=IFERROR(VLOOKUP(E111,Valintalistat!D$2:H$7,5,0),99),1,0)</f>
        <v>0</v>
      </c>
      <c r="AD111" s="44">
        <f>IF(Esiehdot!E$5=IFERROR(VLOOKUP(F111,Valintalistat!E$2:H$5,4,0),99),1,0)</f>
        <v>0</v>
      </c>
      <c r="AE111" s="44">
        <f>IF(Esiehdot!E$6=IFERROR(VLOOKUP(G111,Valintalistat!F$2:H$5,3,0),99),1,0)</f>
        <v>0</v>
      </c>
      <c r="AF111" s="44">
        <f>IF(Esiehdot!E$8=IFERROR(VLOOKUP(H111,Valintalistat!G$2:H$3,2,0),98),1,0)</f>
        <v>0</v>
      </c>
      <c r="AG111" s="43">
        <f t="shared" si="12"/>
        <v>0</v>
      </c>
      <c r="AH111" s="43">
        <f>IFERROR(HLOOKUP(Esiehdot!$B$17,Käyttötapauskriteerit!G$1:P111,111,0),1)</f>
        <v>1</v>
      </c>
      <c r="AI111" s="43">
        <f t="shared" si="13"/>
        <v>0</v>
      </c>
      <c r="AJ111" s="43">
        <f t="shared" si="14"/>
        <v>0</v>
      </c>
      <c r="AK111" s="43">
        <f t="shared" si="15"/>
        <v>0</v>
      </c>
      <c r="AL111" s="43">
        <f t="shared" si="16"/>
        <v>0</v>
      </c>
      <c r="AM111" s="43"/>
      <c r="AN111" s="45" t="str">
        <f t="shared" si="17"/>
        <v>Ei ehdoteta hankintaan</v>
      </c>
    </row>
    <row r="112" spans="1:40 16345:16383" s="24" customFormat="1" ht="24.95">
      <c r="A112" s="5" t="s">
        <v>35</v>
      </c>
      <c r="B112" s="5" t="s">
        <v>921</v>
      </c>
      <c r="C112" s="22" t="s">
        <v>963</v>
      </c>
      <c r="D112" s="22"/>
      <c r="E112" s="17" t="s">
        <v>276</v>
      </c>
      <c r="F112" s="17" t="s">
        <v>964</v>
      </c>
      <c r="G112" s="17"/>
      <c r="H112" s="17" t="s">
        <v>260</v>
      </c>
      <c r="I112" s="17"/>
      <c r="J112" s="17" t="s">
        <v>511</v>
      </c>
      <c r="K112" s="17" t="s">
        <v>773</v>
      </c>
      <c r="L112" s="32" t="s">
        <v>965</v>
      </c>
      <c r="M112" s="61" t="s">
        <v>966</v>
      </c>
      <c r="N112" s="23"/>
      <c r="O112" s="23" t="s">
        <v>967</v>
      </c>
      <c r="P112" s="9" t="s">
        <v>968</v>
      </c>
      <c r="Q112" s="9" t="s">
        <v>969</v>
      </c>
      <c r="R112" s="9" t="s">
        <v>500</v>
      </c>
      <c r="S112" s="9" t="s">
        <v>970</v>
      </c>
      <c r="U112" s="42" t="str">
        <f t="shared" si="9"/>
        <v>TEK-08, L:Salassa pidettävä, E:Normaali, S:, TS:Henkilötieto</v>
      </c>
      <c r="V112" s="47" t="str">
        <f t="shared" si="10"/>
        <v>Julkri: HAL-19; Katakri: I-07</v>
      </c>
      <c r="W112" s="47">
        <f>IFERROR(VLOOKUP(A112,Esiehdot!A$11:D$15,4,0), 0)</f>
        <v>1</v>
      </c>
      <c r="X112" s="47">
        <f>IF(Esiehdot!D$4&gt;=IFERROR(VLOOKUP(E112,Valintalistat!D$2:H$7,5,0), 99),1,0)</f>
        <v>0</v>
      </c>
      <c r="Y112" s="47">
        <f>IF(Esiehdot!D$5&gt;=IFERROR(VLOOKUP(F112,Valintalistat!E$2:H$5,4,0), 99),1,0)</f>
        <v>0</v>
      </c>
      <c r="Z112" s="47">
        <f>IF(Esiehdot!D$6&gt;=IFERROR(VLOOKUP(G112,Valintalistat!F$2:H$5,3,0),99),1,0)</f>
        <v>0</v>
      </c>
      <c r="AA112" s="47">
        <f>IF(Esiehdot!D$8&gt;=IFERROR(VLOOKUP(H112,Valintalistat!G$2:H$5,2,0),99),1,0)</f>
        <v>0</v>
      </c>
      <c r="AB112" s="47">
        <f t="shared" si="11"/>
        <v>0</v>
      </c>
      <c r="AC112" s="47">
        <f>IF(Esiehdot!E$4=IFERROR(VLOOKUP(E112,Valintalistat!D$2:H$7,5,0),99),1,0)</f>
        <v>1</v>
      </c>
      <c r="AD112" s="47">
        <f>IF(Esiehdot!E$5=IFERROR(VLOOKUP(F112,Valintalistat!E$2:H$5,4,0),99),1,0)</f>
        <v>1</v>
      </c>
      <c r="AE112" s="47">
        <f>IF(Esiehdot!E$6=IFERROR(VLOOKUP(G112,Valintalistat!F$2:H$5,3,0),99),1,0)</f>
        <v>0</v>
      </c>
      <c r="AF112" s="47">
        <f>IF(Esiehdot!E$8=IFERROR(VLOOKUP(H112,Valintalistat!G$2:H$3,2,0),98),1,0)</f>
        <v>0</v>
      </c>
      <c r="AG112" s="47">
        <f t="shared" si="12"/>
        <v>1</v>
      </c>
      <c r="AH112" s="47">
        <f>IFERROR(HLOOKUP(Esiehdot!$B$17,Käyttötapauskriteerit!G$1:P112,112,0),1)</f>
        <v>1</v>
      </c>
      <c r="AI112" s="47">
        <f t="shared" si="13"/>
        <v>0</v>
      </c>
      <c r="AJ112" s="47">
        <f t="shared" si="14"/>
        <v>0</v>
      </c>
      <c r="AK112" s="47">
        <f t="shared" si="15"/>
        <v>1</v>
      </c>
      <c r="AL112" s="47">
        <f t="shared" si="16"/>
        <v>0</v>
      </c>
      <c r="AM112" s="47"/>
      <c r="AN112" s="45" t="str">
        <f t="shared" si="17"/>
        <v>Valinnainen</v>
      </c>
      <c r="XEK112" s="5"/>
      <c r="XEL112" s="5"/>
      <c r="XEM112" s="22"/>
      <c r="XEN112" s="22"/>
      <c r="XEO112" s="17"/>
      <c r="XEP112" s="17"/>
      <c r="XEQ112" s="17"/>
      <c r="XER112" s="17"/>
      <c r="XES112" s="17"/>
      <c r="XET112" s="17"/>
      <c r="XEU112" s="17"/>
      <c r="XEV112" s="32"/>
      <c r="XEW112" s="23"/>
      <c r="XEX112" s="23"/>
      <c r="XEY112" s="23"/>
      <c r="XEZ112" s="9"/>
      <c r="XFA112" s="9"/>
      <c r="XFB112" s="9"/>
      <c r="XFC112" s="9"/>
    </row>
    <row r="113" spans="1:40 16345:16383" s="24" customFormat="1" ht="37.5">
      <c r="A113" s="5" t="s">
        <v>35</v>
      </c>
      <c r="B113" s="5" t="s">
        <v>921</v>
      </c>
      <c r="C113" s="22" t="s">
        <v>971</v>
      </c>
      <c r="D113" s="22" t="s">
        <v>963</v>
      </c>
      <c r="E113" s="17" t="s">
        <v>276</v>
      </c>
      <c r="F113" s="17" t="s">
        <v>964</v>
      </c>
      <c r="G113" s="17"/>
      <c r="H113" s="17" t="s">
        <v>260</v>
      </c>
      <c r="I113" s="17"/>
      <c r="J113" s="17" t="s">
        <v>511</v>
      </c>
      <c r="K113" s="17" t="s">
        <v>773</v>
      </c>
      <c r="L113" s="32" t="s">
        <v>965</v>
      </c>
      <c r="M113" s="61" t="s">
        <v>972</v>
      </c>
      <c r="N113" s="23"/>
      <c r="O113" s="23"/>
      <c r="P113" s="9" t="s">
        <v>973</v>
      </c>
      <c r="Q113" s="9" t="s">
        <v>883</v>
      </c>
      <c r="R113" s="9"/>
      <c r="S113" s="9" t="s">
        <v>970</v>
      </c>
      <c r="U113" s="42" t="str">
        <f t="shared" si="9"/>
        <v>TEK-08.1, L:Salassa pidettävä, E:Normaali, S:, TS:Henkilötieto</v>
      </c>
      <c r="V113" s="47" t="str">
        <f t="shared" si="10"/>
        <v>Katakri: I-07</v>
      </c>
      <c r="W113" s="47">
        <f>IFERROR(VLOOKUP(A113,Esiehdot!A$11:D$15,4,0), 0)</f>
        <v>1</v>
      </c>
      <c r="X113" s="47">
        <f>IF(Esiehdot!D$4&gt;=IFERROR(VLOOKUP(E113,Valintalistat!D$2:H$7,5,0), 99),1,0)</f>
        <v>0</v>
      </c>
      <c r="Y113" s="47">
        <f>IF(Esiehdot!D$5&gt;=IFERROR(VLOOKUP(F113,Valintalistat!E$2:H$5,4,0), 99),1,0)</f>
        <v>0</v>
      </c>
      <c r="Z113" s="47">
        <f>IF(Esiehdot!D$6&gt;=IFERROR(VLOOKUP(G113,Valintalistat!F$2:H$5,3,0),99),1,0)</f>
        <v>0</v>
      </c>
      <c r="AA113" s="47">
        <f>IF(Esiehdot!D$8&gt;=IFERROR(VLOOKUP(H113,Valintalistat!G$2:H$5,2,0),99),1,0)</f>
        <v>0</v>
      </c>
      <c r="AB113" s="47">
        <f t="shared" si="11"/>
        <v>0</v>
      </c>
      <c r="AC113" s="47">
        <f>IF(Esiehdot!E$4=IFERROR(VLOOKUP(E113,Valintalistat!D$2:H$7,5,0),99),1,0)</f>
        <v>1</v>
      </c>
      <c r="AD113" s="47">
        <f>IF(Esiehdot!E$5=IFERROR(VLOOKUP(F113,Valintalistat!E$2:H$5,4,0),99),1,0)</f>
        <v>1</v>
      </c>
      <c r="AE113" s="47">
        <f>IF(Esiehdot!E$6=IFERROR(VLOOKUP(G113,Valintalistat!F$2:H$5,3,0),99),1,0)</f>
        <v>0</v>
      </c>
      <c r="AF113" s="47">
        <f>IF(Esiehdot!E$8=IFERROR(VLOOKUP(H113,Valintalistat!G$2:H$3,2,0),98),1,0)</f>
        <v>0</v>
      </c>
      <c r="AG113" s="47">
        <f t="shared" si="12"/>
        <v>1</v>
      </c>
      <c r="AH113" s="47">
        <f>IFERROR(HLOOKUP(Esiehdot!$B$17,Käyttötapauskriteerit!G$1:P113,113,0),1)</f>
        <v>1</v>
      </c>
      <c r="AI113" s="47">
        <f t="shared" si="13"/>
        <v>0</v>
      </c>
      <c r="AJ113" s="47">
        <f t="shared" si="14"/>
        <v>0</v>
      </c>
      <c r="AK113" s="47">
        <f t="shared" si="15"/>
        <v>1</v>
      </c>
      <c r="AL113" s="47">
        <f t="shared" si="16"/>
        <v>0</v>
      </c>
      <c r="AM113" s="47"/>
      <c r="AN113" s="45" t="str">
        <f t="shared" si="17"/>
        <v>Valinnainen</v>
      </c>
      <c r="XEK113" s="5"/>
      <c r="XEL113" s="5"/>
      <c r="XEM113" s="22"/>
      <c r="XEN113" s="22"/>
      <c r="XEO113" s="17"/>
      <c r="XEP113" s="17"/>
      <c r="XEQ113" s="17"/>
      <c r="XER113" s="17"/>
      <c r="XES113" s="17"/>
      <c r="XET113" s="17"/>
      <c r="XEU113" s="17"/>
      <c r="XEV113" s="32"/>
      <c r="XEW113" s="23"/>
      <c r="XEX113" s="23"/>
      <c r="XEY113" s="23"/>
      <c r="XEZ113" s="9"/>
      <c r="XFA113" s="9"/>
      <c r="XFB113" s="9"/>
      <c r="XFC113" s="9"/>
    </row>
    <row r="114" spans="1:40 16345:16383" ht="50.1">
      <c r="A114" s="5" t="s">
        <v>35</v>
      </c>
      <c r="B114" s="5" t="s">
        <v>921</v>
      </c>
      <c r="C114" s="22" t="s">
        <v>974</v>
      </c>
      <c r="D114" s="22" t="s">
        <v>963</v>
      </c>
      <c r="E114" s="17" t="s">
        <v>276</v>
      </c>
      <c r="F114" s="17" t="s">
        <v>964</v>
      </c>
      <c r="G114" s="17"/>
      <c r="H114" s="17" t="s">
        <v>260</v>
      </c>
      <c r="I114" s="17"/>
      <c r="J114" s="17" t="s">
        <v>511</v>
      </c>
      <c r="K114" s="17" t="s">
        <v>773</v>
      </c>
      <c r="L114" s="32" t="s">
        <v>965</v>
      </c>
      <c r="M114" s="61" t="s">
        <v>975</v>
      </c>
      <c r="N114" s="23"/>
      <c r="O114" s="23"/>
      <c r="P114" s="9" t="s">
        <v>976</v>
      </c>
      <c r="Q114" s="9" t="s">
        <v>977</v>
      </c>
      <c r="R114" s="9"/>
      <c r="S114" s="9" t="s">
        <v>970</v>
      </c>
      <c r="U114" s="42" t="str">
        <f t="shared" si="9"/>
        <v>TEK-08.2, L:Salassa pidettävä, E:Normaali, S:, TS:Henkilötieto</v>
      </c>
      <c r="V114" s="42" t="str">
        <f t="shared" si="10"/>
        <v>Katakri: I-07</v>
      </c>
      <c r="W114" s="43">
        <f>IFERROR(VLOOKUP(A114,Esiehdot!A$11:D$15,4,0), 0)</f>
        <v>1</v>
      </c>
      <c r="X114" s="44">
        <f>IF(Esiehdot!D$4&gt;=IFERROR(VLOOKUP(E114,Valintalistat!D$2:H$7,5,0), 99),1,0)</f>
        <v>0</v>
      </c>
      <c r="Y114" s="44">
        <f>IF(Esiehdot!D$5&gt;=IFERROR(VLOOKUP(F114,Valintalistat!E$2:H$5,4,0), 99),1,0)</f>
        <v>0</v>
      </c>
      <c r="Z114" s="44">
        <f>IF(Esiehdot!D$6&gt;=IFERROR(VLOOKUP(G114,Valintalistat!F$2:H$5,3,0),99),1,0)</f>
        <v>0</v>
      </c>
      <c r="AA114" s="44">
        <f>IF(Esiehdot!D$8&gt;=IFERROR(VLOOKUP(H114,Valintalistat!G$2:H$5,2,0),99),1,0)</f>
        <v>0</v>
      </c>
      <c r="AB114" s="43">
        <f t="shared" si="11"/>
        <v>0</v>
      </c>
      <c r="AC114" s="44">
        <f>IF(Esiehdot!E$4=IFERROR(VLOOKUP(E114,Valintalistat!D$2:H$7,5,0),99),1,0)</f>
        <v>1</v>
      </c>
      <c r="AD114" s="44">
        <f>IF(Esiehdot!E$5=IFERROR(VLOOKUP(F114,Valintalistat!E$2:H$5,4,0),99),1,0)</f>
        <v>1</v>
      </c>
      <c r="AE114" s="44">
        <f>IF(Esiehdot!E$6=IFERROR(VLOOKUP(G114,Valintalistat!F$2:H$5,3,0),99),1,0)</f>
        <v>0</v>
      </c>
      <c r="AF114" s="44">
        <f>IF(Esiehdot!E$8=IFERROR(VLOOKUP(H114,Valintalistat!G$2:H$3,2,0),98),1,0)</f>
        <v>0</v>
      </c>
      <c r="AG114" s="43">
        <f t="shared" si="12"/>
        <v>1</v>
      </c>
      <c r="AH114" s="43">
        <f>IFERROR(HLOOKUP(Esiehdot!$B$17,Käyttötapauskriteerit!G$1:P114,114,0),1)</f>
        <v>1</v>
      </c>
      <c r="AI114" s="43">
        <f t="shared" si="13"/>
        <v>0</v>
      </c>
      <c r="AJ114" s="43">
        <f t="shared" si="14"/>
        <v>0</v>
      </c>
      <c r="AK114" s="43">
        <f t="shared" si="15"/>
        <v>1</v>
      </c>
      <c r="AL114" s="43">
        <f t="shared" si="16"/>
        <v>0</v>
      </c>
      <c r="AM114" s="43"/>
      <c r="AN114" s="45" t="str">
        <f t="shared" si="17"/>
        <v>Valinnainen</v>
      </c>
    </row>
    <row r="115" spans="1:40 16345:16383" s="24" customFormat="1" ht="37.5">
      <c r="A115" s="5" t="s">
        <v>35</v>
      </c>
      <c r="B115" s="5" t="s">
        <v>921</v>
      </c>
      <c r="C115" s="22" t="s">
        <v>978</v>
      </c>
      <c r="D115" s="22" t="s">
        <v>963</v>
      </c>
      <c r="E115" s="17" t="s">
        <v>276</v>
      </c>
      <c r="F115" s="17" t="s">
        <v>964</v>
      </c>
      <c r="G115" s="17"/>
      <c r="H115" s="17" t="s">
        <v>260</v>
      </c>
      <c r="I115" s="17"/>
      <c r="J115" s="17" t="s">
        <v>511</v>
      </c>
      <c r="K115" s="17" t="s">
        <v>773</v>
      </c>
      <c r="L115" s="32" t="s">
        <v>965</v>
      </c>
      <c r="M115" s="61" t="s">
        <v>979</v>
      </c>
      <c r="N115" s="23"/>
      <c r="O115" s="23"/>
      <c r="P115" s="9" t="s">
        <v>980</v>
      </c>
      <c r="Q115" s="9" t="s">
        <v>977</v>
      </c>
      <c r="R115" s="9"/>
      <c r="S115" s="9" t="s">
        <v>970</v>
      </c>
      <c r="U115" s="42" t="str">
        <f t="shared" si="9"/>
        <v>TEK-08.3, L:Salassa pidettävä, E:Normaali, S:, TS:Henkilötieto</v>
      </c>
      <c r="V115" s="42" t="str">
        <f t="shared" si="10"/>
        <v>Katakri: I-07</v>
      </c>
      <c r="W115" s="43">
        <f>IFERROR(VLOOKUP(A115,Esiehdot!A$11:D$15,4,0), 0)</f>
        <v>1</v>
      </c>
      <c r="X115" s="44">
        <f>IF(Esiehdot!D$4&gt;=IFERROR(VLOOKUP(E115,Valintalistat!D$2:H$7,5,0), 99),1,0)</f>
        <v>0</v>
      </c>
      <c r="Y115" s="44">
        <f>IF(Esiehdot!D$5&gt;=IFERROR(VLOOKUP(F115,Valintalistat!E$2:H$5,4,0), 99),1,0)</f>
        <v>0</v>
      </c>
      <c r="Z115" s="44">
        <f>IF(Esiehdot!D$6&gt;=IFERROR(VLOOKUP(G115,Valintalistat!F$2:H$5,3,0),99),1,0)</f>
        <v>0</v>
      </c>
      <c r="AA115" s="44">
        <f>IF(Esiehdot!D$8&gt;=IFERROR(VLOOKUP(H115,Valintalistat!G$2:H$5,2,0),99),1,0)</f>
        <v>0</v>
      </c>
      <c r="AB115" s="43">
        <f t="shared" si="11"/>
        <v>0</v>
      </c>
      <c r="AC115" s="44">
        <f>IF(Esiehdot!E$4=IFERROR(VLOOKUP(E115,Valintalistat!D$2:H$7,5,0),99),1,0)</f>
        <v>1</v>
      </c>
      <c r="AD115" s="44">
        <f>IF(Esiehdot!E$5=IFERROR(VLOOKUP(F115,Valintalistat!E$2:H$5,4,0),99),1,0)</f>
        <v>1</v>
      </c>
      <c r="AE115" s="44">
        <f>IF(Esiehdot!E$6=IFERROR(VLOOKUP(G115,Valintalistat!F$2:H$5,3,0),99),1,0)</f>
        <v>0</v>
      </c>
      <c r="AF115" s="44">
        <f>IF(Esiehdot!E$8=IFERROR(VLOOKUP(H115,Valintalistat!G$2:H$3,2,0),98),1,0)</f>
        <v>0</v>
      </c>
      <c r="AG115" s="43">
        <f t="shared" si="12"/>
        <v>1</v>
      </c>
      <c r="AH115" s="43">
        <f>IFERROR(HLOOKUP(Esiehdot!$B$17,Käyttötapauskriteerit!G$1:P115,115,0),1)</f>
        <v>1</v>
      </c>
      <c r="AI115" s="43">
        <f t="shared" si="13"/>
        <v>0</v>
      </c>
      <c r="AJ115" s="43">
        <f t="shared" si="14"/>
        <v>0</v>
      </c>
      <c r="AK115" s="43">
        <f t="shared" si="15"/>
        <v>1</v>
      </c>
      <c r="AL115" s="43">
        <f t="shared" si="16"/>
        <v>0</v>
      </c>
      <c r="AM115" s="43"/>
      <c r="AN115" s="45" t="str">
        <f t="shared" si="17"/>
        <v>Valinnainen</v>
      </c>
    </row>
    <row r="116" spans="1:40 16345:16383" s="24" customFormat="1" ht="24.95">
      <c r="A116" s="5" t="s">
        <v>35</v>
      </c>
      <c r="B116" s="5" t="s">
        <v>921</v>
      </c>
      <c r="C116" s="22" t="s">
        <v>981</v>
      </c>
      <c r="D116" s="22" t="s">
        <v>963</v>
      </c>
      <c r="E116" s="17" t="s">
        <v>554</v>
      </c>
      <c r="F116" s="17" t="s">
        <v>406</v>
      </c>
      <c r="G116" s="17"/>
      <c r="H116" s="17"/>
      <c r="I116" s="17"/>
      <c r="J116" s="17" t="s">
        <v>511</v>
      </c>
      <c r="K116" s="17" t="s">
        <v>773</v>
      </c>
      <c r="L116" s="32" t="s">
        <v>982</v>
      </c>
      <c r="M116" s="61" t="s">
        <v>721</v>
      </c>
      <c r="N116" s="23"/>
      <c r="O116" s="23" t="s">
        <v>983</v>
      </c>
      <c r="P116" s="9" t="s">
        <v>984</v>
      </c>
      <c r="Q116" s="9" t="s">
        <v>985</v>
      </c>
      <c r="R116" s="9"/>
      <c r="S116" s="9" t="s">
        <v>970</v>
      </c>
      <c r="U116" s="42" t="str">
        <f t="shared" si="9"/>
        <v>TEK-08.4, L:TL IV, E:Kriittinen, S:, TS:</v>
      </c>
      <c r="V116" s="42" t="str">
        <f t="shared" si="10"/>
        <v>Katakri: I-07</v>
      </c>
      <c r="W116" s="43">
        <f>IFERROR(VLOOKUP(A116,Esiehdot!A$11:D$15,4,0), 0)</f>
        <v>1</v>
      </c>
      <c r="X116" s="44">
        <f>IF(Esiehdot!D$4&gt;=IFERROR(VLOOKUP(E116,Valintalistat!D$2:H$7,5,0), 99),1,0)</f>
        <v>0</v>
      </c>
      <c r="Y116" s="44">
        <f>IF(Esiehdot!D$5&gt;=IFERROR(VLOOKUP(F116,Valintalistat!E$2:H$5,4,0), 99),1,0)</f>
        <v>0</v>
      </c>
      <c r="Z116" s="44">
        <f>IF(Esiehdot!D$6&gt;=IFERROR(VLOOKUP(G116,Valintalistat!F$2:H$5,3,0),99),1,0)</f>
        <v>0</v>
      </c>
      <c r="AA116" s="44">
        <f>IF(Esiehdot!D$8&gt;=IFERROR(VLOOKUP(H116,Valintalistat!G$2:H$5,2,0),99),1,0)</f>
        <v>0</v>
      </c>
      <c r="AB116" s="43">
        <f t="shared" si="11"/>
        <v>0</v>
      </c>
      <c r="AC116" s="44">
        <f>IF(Esiehdot!E$4=IFERROR(VLOOKUP(E116,Valintalistat!D$2:H$7,5,0),99),1,0)</f>
        <v>0</v>
      </c>
      <c r="AD116" s="44">
        <f>IF(Esiehdot!E$5=IFERROR(VLOOKUP(F116,Valintalistat!E$2:H$5,4,0),99),1,0)</f>
        <v>0</v>
      </c>
      <c r="AE116" s="44">
        <f>IF(Esiehdot!E$6=IFERROR(VLOOKUP(G116,Valintalistat!F$2:H$5,3,0),99),1,0)</f>
        <v>0</v>
      </c>
      <c r="AF116" s="44">
        <f>IF(Esiehdot!E$8=IFERROR(VLOOKUP(H116,Valintalistat!G$2:H$3,2,0),98),1,0)</f>
        <v>0</v>
      </c>
      <c r="AG116" s="43">
        <f t="shared" si="12"/>
        <v>0</v>
      </c>
      <c r="AH116" s="43">
        <f>IFERROR(HLOOKUP(Esiehdot!$B$17,Käyttötapauskriteerit!G$1:P116,116,0),1)</f>
        <v>1</v>
      </c>
      <c r="AI116" s="43">
        <f t="shared" si="13"/>
        <v>0</v>
      </c>
      <c r="AJ116" s="43">
        <f t="shared" si="14"/>
        <v>0</v>
      </c>
      <c r="AK116" s="43">
        <f t="shared" si="15"/>
        <v>0</v>
      </c>
      <c r="AL116" s="43">
        <f t="shared" si="16"/>
        <v>0</v>
      </c>
      <c r="AM116" s="43"/>
      <c r="AN116" s="45" t="str">
        <f t="shared" si="17"/>
        <v>Ei ehdoteta hankintaan</v>
      </c>
    </row>
    <row r="117" spans="1:40 16345:16383" s="24" customFormat="1" ht="24.95">
      <c r="A117" s="5" t="s">
        <v>35</v>
      </c>
      <c r="B117" s="5" t="s">
        <v>921</v>
      </c>
      <c r="C117" s="22" t="s">
        <v>986</v>
      </c>
      <c r="D117" s="22" t="s">
        <v>963</v>
      </c>
      <c r="E117" s="17" t="s">
        <v>446</v>
      </c>
      <c r="F117" s="17" t="s">
        <v>406</v>
      </c>
      <c r="G117" s="17"/>
      <c r="H117" s="17"/>
      <c r="I117" s="17"/>
      <c r="J117" s="17" t="s">
        <v>511</v>
      </c>
      <c r="K117" s="17" t="s">
        <v>773</v>
      </c>
      <c r="L117" s="32" t="s">
        <v>987</v>
      </c>
      <c r="M117" s="61" t="s">
        <v>721</v>
      </c>
      <c r="N117" s="23"/>
      <c r="O117" s="23" t="s">
        <v>988</v>
      </c>
      <c r="P117" s="9" t="s">
        <v>984</v>
      </c>
      <c r="Q117" s="9"/>
      <c r="R117" s="9"/>
      <c r="S117" s="9" t="s">
        <v>970</v>
      </c>
      <c r="U117" s="42" t="str">
        <f t="shared" si="9"/>
        <v>TEK-08.5, L:TL III, E:Kriittinen, S:, TS:</v>
      </c>
      <c r="V117" s="42" t="str">
        <f t="shared" si="10"/>
        <v>Katakri: I-07</v>
      </c>
      <c r="W117" s="43">
        <f>IFERROR(VLOOKUP(A117,Esiehdot!A$11:D$15,4,0), 0)</f>
        <v>1</v>
      </c>
      <c r="X117" s="44">
        <f>IF(Esiehdot!D$4&gt;=IFERROR(VLOOKUP(E117,Valintalistat!D$2:H$7,5,0), 99),1,0)</f>
        <v>0</v>
      </c>
      <c r="Y117" s="44">
        <f>IF(Esiehdot!D$5&gt;=IFERROR(VLOOKUP(F117,Valintalistat!E$2:H$5,4,0), 99),1,0)</f>
        <v>0</v>
      </c>
      <c r="Z117" s="44">
        <f>IF(Esiehdot!D$6&gt;=IFERROR(VLOOKUP(G117,Valintalistat!F$2:H$5,3,0),99),1,0)</f>
        <v>0</v>
      </c>
      <c r="AA117" s="44">
        <f>IF(Esiehdot!D$8&gt;=IFERROR(VLOOKUP(H117,Valintalistat!G$2:H$5,2,0),99),1,0)</f>
        <v>0</v>
      </c>
      <c r="AB117" s="43">
        <f t="shared" si="11"/>
        <v>0</v>
      </c>
      <c r="AC117" s="44">
        <f>IF(Esiehdot!E$4=IFERROR(VLOOKUP(E117,Valintalistat!D$2:H$7,5,0),99),1,0)</f>
        <v>0</v>
      </c>
      <c r="AD117" s="44">
        <f>IF(Esiehdot!E$5=IFERROR(VLOOKUP(F117,Valintalistat!E$2:H$5,4,0),99),1,0)</f>
        <v>0</v>
      </c>
      <c r="AE117" s="44">
        <f>IF(Esiehdot!E$6=IFERROR(VLOOKUP(G117,Valintalistat!F$2:H$5,3,0),99),1,0)</f>
        <v>0</v>
      </c>
      <c r="AF117" s="44">
        <f>IF(Esiehdot!E$8=IFERROR(VLOOKUP(H117,Valintalistat!G$2:H$3,2,0),98),1,0)</f>
        <v>0</v>
      </c>
      <c r="AG117" s="43">
        <f t="shared" si="12"/>
        <v>0</v>
      </c>
      <c r="AH117" s="43">
        <f>IFERROR(HLOOKUP(Esiehdot!$B$17,Käyttötapauskriteerit!G$1:P117,117,0),1)</f>
        <v>1</v>
      </c>
      <c r="AI117" s="43">
        <f t="shared" si="13"/>
        <v>0</v>
      </c>
      <c r="AJ117" s="43">
        <f t="shared" si="14"/>
        <v>0</v>
      </c>
      <c r="AK117" s="43">
        <f t="shared" si="15"/>
        <v>0</v>
      </c>
      <c r="AL117" s="43">
        <f t="shared" si="16"/>
        <v>0</v>
      </c>
      <c r="AM117" s="43"/>
      <c r="AN117" s="45" t="str">
        <f t="shared" si="17"/>
        <v>Ei ehdoteta hankintaan</v>
      </c>
    </row>
    <row r="118" spans="1:40 16345:16383" s="24" customFormat="1" ht="62.45">
      <c r="A118" s="5" t="s">
        <v>35</v>
      </c>
      <c r="B118" s="5" t="s">
        <v>499</v>
      </c>
      <c r="C118" s="22" t="s">
        <v>989</v>
      </c>
      <c r="D118" s="22"/>
      <c r="E118" s="17" t="s">
        <v>276</v>
      </c>
      <c r="F118" s="17" t="s">
        <v>406</v>
      </c>
      <c r="G118" s="17"/>
      <c r="H118" s="17" t="s">
        <v>278</v>
      </c>
      <c r="I118" s="17"/>
      <c r="J118" s="17" t="s">
        <v>511</v>
      </c>
      <c r="K118" s="17" t="s">
        <v>773</v>
      </c>
      <c r="L118" s="32" t="s">
        <v>990</v>
      </c>
      <c r="M118" s="61" t="s">
        <v>991</v>
      </c>
      <c r="N118" s="23" t="s">
        <v>992</v>
      </c>
      <c r="O118" s="23"/>
      <c r="P118" s="9" t="s">
        <v>993</v>
      </c>
      <c r="Q118" s="9" t="s">
        <v>994</v>
      </c>
      <c r="R118" s="9" t="s">
        <v>995</v>
      </c>
      <c r="S118" s="9" t="s">
        <v>508</v>
      </c>
      <c r="U118" s="42" t="str">
        <f t="shared" si="9"/>
        <v>TEK-09, L:Salassa pidettävä, E:Kriittinen, S:, TS:Erityinen henkilötietoryhmä</v>
      </c>
      <c r="V118" s="42" t="str">
        <f t="shared" si="10"/>
        <v>Julkri: FYY-7.1, HAL-19; Katakri: I-17</v>
      </c>
      <c r="W118" s="43">
        <f>IFERROR(VLOOKUP(A118,Esiehdot!A$11:D$15,4,0), 0)</f>
        <v>1</v>
      </c>
      <c r="X118" s="44">
        <f>IF(Esiehdot!D$4&gt;=IFERROR(VLOOKUP(E118,Valintalistat!D$2:H$7,5,0), 99),1,0)</f>
        <v>0</v>
      </c>
      <c r="Y118" s="44">
        <f>IF(Esiehdot!D$5&gt;=IFERROR(VLOOKUP(F118,Valintalistat!E$2:H$5,4,0), 99),1,0)</f>
        <v>0</v>
      </c>
      <c r="Z118" s="44">
        <f>IF(Esiehdot!D$6&gt;=IFERROR(VLOOKUP(G118,Valintalistat!F$2:H$5,3,0),99),1,0)</f>
        <v>0</v>
      </c>
      <c r="AA118" s="44">
        <f>IF(Esiehdot!D$8&gt;=IFERROR(VLOOKUP(H118,Valintalistat!G$2:H$5,2,0),99),1,0)</f>
        <v>0</v>
      </c>
      <c r="AB118" s="43">
        <f t="shared" si="11"/>
        <v>0</v>
      </c>
      <c r="AC118" s="44">
        <f>IF(Esiehdot!E$4=IFERROR(VLOOKUP(E118,Valintalistat!D$2:H$7,5,0),99),1,0)</f>
        <v>1</v>
      </c>
      <c r="AD118" s="44">
        <f>IF(Esiehdot!E$5=IFERROR(VLOOKUP(F118,Valintalistat!E$2:H$5,4,0),99),1,0)</f>
        <v>0</v>
      </c>
      <c r="AE118" s="44">
        <f>IF(Esiehdot!E$6=IFERROR(VLOOKUP(G118,Valintalistat!F$2:H$5,3,0),99),1,0)</f>
        <v>0</v>
      </c>
      <c r="AF118" s="44">
        <f>IF(Esiehdot!E$8=IFERROR(VLOOKUP(H118,Valintalistat!G$2:H$3,2,0),98),1,0)</f>
        <v>0</v>
      </c>
      <c r="AG118" s="43">
        <f t="shared" si="12"/>
        <v>1</v>
      </c>
      <c r="AH118" s="43">
        <f>IFERROR(HLOOKUP(Esiehdot!$B$17,Käyttötapauskriteerit!G$1:P118,118,0),1)</f>
        <v>1</v>
      </c>
      <c r="AI118" s="43">
        <f t="shared" si="13"/>
        <v>0</v>
      </c>
      <c r="AJ118" s="43">
        <f t="shared" si="14"/>
        <v>0</v>
      </c>
      <c r="AK118" s="43">
        <f t="shared" si="15"/>
        <v>1</v>
      </c>
      <c r="AL118" s="43">
        <f t="shared" si="16"/>
        <v>0</v>
      </c>
      <c r="AM118" s="43"/>
      <c r="AN118" s="45" t="str">
        <f t="shared" si="17"/>
        <v>Valinnainen</v>
      </c>
    </row>
    <row r="119" spans="1:40 16345:16383" s="24" customFormat="1" ht="50.1">
      <c r="A119" s="5" t="s">
        <v>35</v>
      </c>
      <c r="B119" s="5" t="s">
        <v>921</v>
      </c>
      <c r="C119" s="22" t="s">
        <v>996</v>
      </c>
      <c r="D119" s="22"/>
      <c r="E119" s="17" t="s">
        <v>276</v>
      </c>
      <c r="F119" s="17" t="s">
        <v>277</v>
      </c>
      <c r="G119" s="17"/>
      <c r="H119" s="17" t="s">
        <v>278</v>
      </c>
      <c r="I119" s="17"/>
      <c r="J119" s="17" t="s">
        <v>511</v>
      </c>
      <c r="K119" s="17" t="s">
        <v>773</v>
      </c>
      <c r="L119" s="32" t="s">
        <v>997</v>
      </c>
      <c r="M119" s="61" t="s">
        <v>998</v>
      </c>
      <c r="N119" s="23" t="s">
        <v>999</v>
      </c>
      <c r="O119" s="23" t="s">
        <v>1000</v>
      </c>
      <c r="P119" s="9" t="s">
        <v>1001</v>
      </c>
      <c r="Q119" s="9" t="s">
        <v>1002</v>
      </c>
      <c r="R119" s="9"/>
      <c r="S119" s="9" t="s">
        <v>1003</v>
      </c>
      <c r="U119" s="42" t="str">
        <f t="shared" si="9"/>
        <v>TEK-10, L:Salassa pidettävä, E:Tärkeä, S:, TS:Erityinen henkilötietoryhmä</v>
      </c>
      <c r="V119" s="42" t="str">
        <f t="shared" si="10"/>
        <v>Katakri: I-08</v>
      </c>
      <c r="W119" s="43">
        <f>IFERROR(VLOOKUP(A119,Esiehdot!A$11:D$15,4,0), 0)</f>
        <v>1</v>
      </c>
      <c r="X119" s="44">
        <f>IF(Esiehdot!D$4&gt;=IFERROR(VLOOKUP(E119,Valintalistat!D$2:H$7,5,0), 99),1,0)</f>
        <v>0</v>
      </c>
      <c r="Y119" s="44">
        <f>IF(Esiehdot!D$5&gt;=IFERROR(VLOOKUP(F119,Valintalistat!E$2:H$5,4,0), 99),1,0)</f>
        <v>0</v>
      </c>
      <c r="Z119" s="44">
        <f>IF(Esiehdot!D$6&gt;=IFERROR(VLOOKUP(G119,Valintalistat!F$2:H$5,3,0),99),1,0)</f>
        <v>0</v>
      </c>
      <c r="AA119" s="44">
        <f>IF(Esiehdot!D$8&gt;=IFERROR(VLOOKUP(H119,Valintalistat!G$2:H$5,2,0),99),1,0)</f>
        <v>0</v>
      </c>
      <c r="AB119" s="43">
        <f t="shared" si="11"/>
        <v>0</v>
      </c>
      <c r="AC119" s="44">
        <f>IF(Esiehdot!E$4=IFERROR(VLOOKUP(E119,Valintalistat!D$2:H$7,5,0),99),1,0)</f>
        <v>1</v>
      </c>
      <c r="AD119" s="44">
        <f>IF(Esiehdot!E$5=IFERROR(VLOOKUP(F119,Valintalistat!E$2:H$5,4,0),99),1,0)</f>
        <v>0</v>
      </c>
      <c r="AE119" s="44">
        <f>IF(Esiehdot!E$6=IFERROR(VLOOKUP(G119,Valintalistat!F$2:H$5,3,0),99),1,0)</f>
        <v>0</v>
      </c>
      <c r="AF119" s="44">
        <f>IF(Esiehdot!E$8=IFERROR(VLOOKUP(H119,Valintalistat!G$2:H$3,2,0),98),1,0)</f>
        <v>0</v>
      </c>
      <c r="AG119" s="43">
        <f t="shared" si="12"/>
        <v>1</v>
      </c>
      <c r="AH119" s="43">
        <f>IFERROR(HLOOKUP(Esiehdot!$B$17,Käyttötapauskriteerit!G$1:P119,119,0),1)</f>
        <v>1</v>
      </c>
      <c r="AI119" s="43">
        <f t="shared" si="13"/>
        <v>0</v>
      </c>
      <c r="AJ119" s="43">
        <f t="shared" si="14"/>
        <v>0</v>
      </c>
      <c r="AK119" s="43">
        <f t="shared" si="15"/>
        <v>1</v>
      </c>
      <c r="AL119" s="43">
        <f t="shared" si="16"/>
        <v>0</v>
      </c>
      <c r="AM119" s="43"/>
      <c r="AN119" s="45" t="str">
        <f t="shared" si="17"/>
        <v>Valinnainen</v>
      </c>
    </row>
    <row r="120" spans="1:40 16345:16383" ht="50.1">
      <c r="A120" s="5" t="s">
        <v>35</v>
      </c>
      <c r="B120" s="5" t="s">
        <v>921</v>
      </c>
      <c r="C120" s="22" t="s">
        <v>1004</v>
      </c>
      <c r="D120" s="22" t="s">
        <v>996</v>
      </c>
      <c r="E120" s="17" t="s">
        <v>276</v>
      </c>
      <c r="F120" s="17" t="s">
        <v>277</v>
      </c>
      <c r="G120" s="17"/>
      <c r="H120" s="17" t="s">
        <v>278</v>
      </c>
      <c r="I120" s="17"/>
      <c r="J120" s="17" t="s">
        <v>511</v>
      </c>
      <c r="K120" s="17" t="s">
        <v>773</v>
      </c>
      <c r="L120" s="32" t="s">
        <v>1005</v>
      </c>
      <c r="M120" s="61" t="s">
        <v>1006</v>
      </c>
      <c r="N120" s="23" t="s">
        <v>1007</v>
      </c>
      <c r="O120" s="23"/>
      <c r="P120" s="9" t="s">
        <v>1008</v>
      </c>
      <c r="Q120" s="9"/>
      <c r="R120" s="9"/>
      <c r="S120" s="9" t="s">
        <v>1003</v>
      </c>
      <c r="U120" s="42" t="str">
        <f t="shared" si="9"/>
        <v>TEK-10.1, L:Salassa pidettävä, E:Tärkeä, S:, TS:Erityinen henkilötietoryhmä</v>
      </c>
      <c r="V120" s="42" t="str">
        <f t="shared" si="10"/>
        <v>Katakri: I-08</v>
      </c>
      <c r="W120" s="43">
        <f>IFERROR(VLOOKUP(A120,Esiehdot!A$11:D$15,4,0), 0)</f>
        <v>1</v>
      </c>
      <c r="X120" s="44">
        <f>IF(Esiehdot!D$4&gt;=IFERROR(VLOOKUP(E120,Valintalistat!D$2:H$7,5,0), 99),1,0)</f>
        <v>0</v>
      </c>
      <c r="Y120" s="44">
        <f>IF(Esiehdot!D$5&gt;=IFERROR(VLOOKUP(F120,Valintalistat!E$2:H$5,4,0), 99),1,0)</f>
        <v>0</v>
      </c>
      <c r="Z120" s="44">
        <f>IF(Esiehdot!D$6&gt;=IFERROR(VLOOKUP(G120,Valintalistat!F$2:H$5,3,0),99),1,0)</f>
        <v>0</v>
      </c>
      <c r="AA120" s="44">
        <f>IF(Esiehdot!D$8&gt;=IFERROR(VLOOKUP(H120,Valintalistat!G$2:H$5,2,0),99),1,0)</f>
        <v>0</v>
      </c>
      <c r="AB120" s="43">
        <f t="shared" si="11"/>
        <v>0</v>
      </c>
      <c r="AC120" s="44">
        <f>IF(Esiehdot!E$4=IFERROR(VLOOKUP(E120,Valintalistat!D$2:H$7,5,0),99),1,0)</f>
        <v>1</v>
      </c>
      <c r="AD120" s="44">
        <f>IF(Esiehdot!E$5=IFERROR(VLOOKUP(F120,Valintalistat!E$2:H$5,4,0),99),1,0)</f>
        <v>0</v>
      </c>
      <c r="AE120" s="44">
        <f>IF(Esiehdot!E$6=IFERROR(VLOOKUP(G120,Valintalistat!F$2:H$5,3,0),99),1,0)</f>
        <v>0</v>
      </c>
      <c r="AF120" s="44">
        <f>IF(Esiehdot!E$8=IFERROR(VLOOKUP(H120,Valintalistat!G$2:H$3,2,0),98),1,0)</f>
        <v>0</v>
      </c>
      <c r="AG120" s="43">
        <f t="shared" si="12"/>
        <v>1</v>
      </c>
      <c r="AH120" s="43">
        <f>IFERROR(HLOOKUP(Esiehdot!$B$17,Käyttötapauskriteerit!G$1:P120,120,0),1)</f>
        <v>1</v>
      </c>
      <c r="AI120" s="43">
        <f t="shared" si="13"/>
        <v>0</v>
      </c>
      <c r="AJ120" s="43">
        <f t="shared" si="14"/>
        <v>0</v>
      </c>
      <c r="AK120" s="43">
        <f t="shared" si="15"/>
        <v>1</v>
      </c>
      <c r="AL120" s="43">
        <f t="shared" si="16"/>
        <v>0</v>
      </c>
      <c r="AM120" s="43"/>
      <c r="AN120" s="45" t="str">
        <f t="shared" si="17"/>
        <v>Valinnainen</v>
      </c>
    </row>
    <row r="121" spans="1:40 16345:16383" ht="37.5">
      <c r="A121" s="5" t="s">
        <v>35</v>
      </c>
      <c r="B121" s="5" t="s">
        <v>921</v>
      </c>
      <c r="C121" s="22" t="s">
        <v>1009</v>
      </c>
      <c r="D121" s="22" t="s">
        <v>996</v>
      </c>
      <c r="E121" s="17" t="s">
        <v>276</v>
      </c>
      <c r="F121" s="17" t="s">
        <v>277</v>
      </c>
      <c r="G121" s="17"/>
      <c r="H121" s="17" t="s">
        <v>278</v>
      </c>
      <c r="I121" s="17"/>
      <c r="J121" s="17" t="s">
        <v>511</v>
      </c>
      <c r="K121" s="17" t="s">
        <v>773</v>
      </c>
      <c r="L121" s="32" t="s">
        <v>1010</v>
      </c>
      <c r="M121" s="61" t="s">
        <v>1011</v>
      </c>
      <c r="N121" s="23"/>
      <c r="O121" s="23"/>
      <c r="P121" s="9" t="s">
        <v>1001</v>
      </c>
      <c r="Q121" s="9"/>
      <c r="R121" s="9"/>
      <c r="S121" s="9" t="s">
        <v>1003</v>
      </c>
      <c r="U121" s="42" t="str">
        <f t="shared" si="9"/>
        <v>TEK-10.2, L:Salassa pidettävä, E:Tärkeä, S:, TS:Erityinen henkilötietoryhmä</v>
      </c>
      <c r="V121" s="42" t="str">
        <f t="shared" si="10"/>
        <v>Katakri: I-08</v>
      </c>
      <c r="W121" s="43">
        <f>IFERROR(VLOOKUP(A121,Esiehdot!A$11:D$15,4,0), 0)</f>
        <v>1</v>
      </c>
      <c r="X121" s="44">
        <f>IF(Esiehdot!D$4&gt;=IFERROR(VLOOKUP(E121,Valintalistat!D$2:H$7,5,0), 99),1,0)</f>
        <v>0</v>
      </c>
      <c r="Y121" s="44">
        <f>IF(Esiehdot!D$5&gt;=IFERROR(VLOOKUP(F121,Valintalistat!E$2:H$5,4,0), 99),1,0)</f>
        <v>0</v>
      </c>
      <c r="Z121" s="44">
        <f>IF(Esiehdot!D$6&gt;=IFERROR(VLOOKUP(G121,Valintalistat!F$2:H$5,3,0),99),1,0)</f>
        <v>0</v>
      </c>
      <c r="AA121" s="44">
        <f>IF(Esiehdot!D$8&gt;=IFERROR(VLOOKUP(H121,Valintalistat!G$2:H$5,2,0),99),1,0)</f>
        <v>0</v>
      </c>
      <c r="AB121" s="43">
        <f t="shared" si="11"/>
        <v>0</v>
      </c>
      <c r="AC121" s="44">
        <f>IF(Esiehdot!E$4=IFERROR(VLOOKUP(E121,Valintalistat!D$2:H$7,5,0),99),1,0)</f>
        <v>1</v>
      </c>
      <c r="AD121" s="44">
        <f>IF(Esiehdot!E$5=IFERROR(VLOOKUP(F121,Valintalistat!E$2:H$5,4,0),99),1,0)</f>
        <v>0</v>
      </c>
      <c r="AE121" s="44">
        <f>IF(Esiehdot!E$6=IFERROR(VLOOKUP(G121,Valintalistat!F$2:H$5,3,0),99),1,0)</f>
        <v>0</v>
      </c>
      <c r="AF121" s="44">
        <f>IF(Esiehdot!E$8=IFERROR(VLOOKUP(H121,Valintalistat!G$2:H$3,2,0),98),1,0)</f>
        <v>0</v>
      </c>
      <c r="AG121" s="43">
        <f t="shared" si="12"/>
        <v>1</v>
      </c>
      <c r="AH121" s="43">
        <f>IFERROR(HLOOKUP(Esiehdot!$B$17,Käyttötapauskriteerit!G$1:P121,121,0),1)</f>
        <v>1</v>
      </c>
      <c r="AI121" s="43">
        <f t="shared" si="13"/>
        <v>0</v>
      </c>
      <c r="AJ121" s="43">
        <f t="shared" si="14"/>
        <v>0</v>
      </c>
      <c r="AK121" s="43">
        <f t="shared" si="15"/>
        <v>1</v>
      </c>
      <c r="AL121" s="43">
        <f t="shared" si="16"/>
        <v>0</v>
      </c>
      <c r="AM121" s="43"/>
      <c r="AN121" s="45" t="str">
        <f t="shared" si="17"/>
        <v>Valinnainen</v>
      </c>
    </row>
    <row r="122" spans="1:40 16345:16383" s="24" customFormat="1" ht="24.95">
      <c r="A122" s="5" t="s">
        <v>35</v>
      </c>
      <c r="B122" s="5" t="s">
        <v>921</v>
      </c>
      <c r="C122" s="22" t="s">
        <v>1012</v>
      </c>
      <c r="D122" s="22" t="s">
        <v>996</v>
      </c>
      <c r="E122" s="17" t="s">
        <v>446</v>
      </c>
      <c r="F122" s="17" t="s">
        <v>406</v>
      </c>
      <c r="G122" s="17"/>
      <c r="H122" s="17"/>
      <c r="I122" s="17"/>
      <c r="J122" s="17" t="s">
        <v>511</v>
      </c>
      <c r="K122" s="17" t="s">
        <v>773</v>
      </c>
      <c r="L122" s="32" t="s">
        <v>1013</v>
      </c>
      <c r="M122" s="61" t="s">
        <v>721</v>
      </c>
      <c r="N122" s="23" t="s">
        <v>1014</v>
      </c>
      <c r="O122" s="23" t="s">
        <v>1015</v>
      </c>
      <c r="P122" s="9" t="s">
        <v>1001</v>
      </c>
      <c r="Q122" s="9"/>
      <c r="R122" s="9"/>
      <c r="S122" s="9" t="s">
        <v>1003</v>
      </c>
      <c r="U122" s="42" t="str">
        <f t="shared" si="9"/>
        <v>TEK-10.3, L:TL III, E:Kriittinen, S:, TS:</v>
      </c>
      <c r="V122" s="47" t="str">
        <f t="shared" si="10"/>
        <v>Katakri: I-08</v>
      </c>
      <c r="W122" s="47">
        <f>IFERROR(VLOOKUP(A122,Esiehdot!A$11:D$15,4,0), 0)</f>
        <v>1</v>
      </c>
      <c r="X122" s="47">
        <f>IF(Esiehdot!D$4&gt;=IFERROR(VLOOKUP(E122,Valintalistat!D$2:H$7,5,0), 99),1,0)</f>
        <v>0</v>
      </c>
      <c r="Y122" s="47">
        <f>IF(Esiehdot!D$5&gt;=IFERROR(VLOOKUP(F122,Valintalistat!E$2:H$5,4,0), 99),1,0)</f>
        <v>0</v>
      </c>
      <c r="Z122" s="47">
        <f>IF(Esiehdot!D$6&gt;=IFERROR(VLOOKUP(G122,Valintalistat!F$2:H$5,3,0),99),1,0)</f>
        <v>0</v>
      </c>
      <c r="AA122" s="47">
        <f>IF(Esiehdot!D$8&gt;=IFERROR(VLOOKUP(H122,Valintalistat!G$2:H$5,2,0),99),1,0)</f>
        <v>0</v>
      </c>
      <c r="AB122" s="47">
        <f t="shared" si="11"/>
        <v>0</v>
      </c>
      <c r="AC122" s="47">
        <f>IF(Esiehdot!E$4=IFERROR(VLOOKUP(E122,Valintalistat!D$2:H$7,5,0),99),1,0)</f>
        <v>0</v>
      </c>
      <c r="AD122" s="47">
        <f>IF(Esiehdot!E$5=IFERROR(VLOOKUP(F122,Valintalistat!E$2:H$5,4,0),99),1,0)</f>
        <v>0</v>
      </c>
      <c r="AE122" s="47">
        <f>IF(Esiehdot!E$6=IFERROR(VLOOKUP(G122,Valintalistat!F$2:H$5,3,0),99),1,0)</f>
        <v>0</v>
      </c>
      <c r="AF122" s="47">
        <f>IF(Esiehdot!E$8=IFERROR(VLOOKUP(H122,Valintalistat!G$2:H$3,2,0),98),1,0)</f>
        <v>0</v>
      </c>
      <c r="AG122" s="47">
        <f t="shared" si="12"/>
        <v>0</v>
      </c>
      <c r="AH122" s="47">
        <f>IFERROR(HLOOKUP(Esiehdot!$B$17,Käyttötapauskriteerit!G$1:P122,122,0),1)</f>
        <v>1</v>
      </c>
      <c r="AI122" s="47">
        <f t="shared" si="13"/>
        <v>0</v>
      </c>
      <c r="AJ122" s="47">
        <f t="shared" si="14"/>
        <v>0</v>
      </c>
      <c r="AK122" s="47">
        <f t="shared" si="15"/>
        <v>0</v>
      </c>
      <c r="AL122" s="47">
        <f t="shared" si="16"/>
        <v>0</v>
      </c>
      <c r="AM122" s="47"/>
      <c r="AN122" s="45" t="str">
        <f t="shared" si="17"/>
        <v>Ei ehdoteta hankintaan</v>
      </c>
      <c r="XEK122" s="5"/>
      <c r="XEL122" s="5"/>
      <c r="XEM122" s="22"/>
      <c r="XEN122" s="22"/>
      <c r="XEO122" s="17"/>
      <c r="XEP122" s="17"/>
      <c r="XEQ122" s="17"/>
      <c r="XER122" s="17"/>
      <c r="XES122" s="17"/>
      <c r="XET122" s="17"/>
      <c r="XEU122" s="17"/>
      <c r="XEV122" s="32"/>
      <c r="XEW122" s="23"/>
      <c r="XEX122" s="23"/>
      <c r="XEY122" s="23"/>
      <c r="XEZ122" s="9"/>
      <c r="XFA122" s="9"/>
      <c r="XFB122" s="9"/>
      <c r="XFC122" s="9"/>
    </row>
    <row r="123" spans="1:40 16345:16383" s="24" customFormat="1" ht="62.45">
      <c r="A123" s="5" t="s">
        <v>35</v>
      </c>
      <c r="B123" s="5" t="s">
        <v>921</v>
      </c>
      <c r="C123" s="22" t="s">
        <v>1016</v>
      </c>
      <c r="D123" s="22"/>
      <c r="E123" s="17" t="s">
        <v>276</v>
      </c>
      <c r="F123" s="17" t="s">
        <v>964</v>
      </c>
      <c r="G123" s="17" t="s">
        <v>964</v>
      </c>
      <c r="H123" s="17" t="s">
        <v>278</v>
      </c>
      <c r="I123" s="17"/>
      <c r="J123" s="17" t="s">
        <v>511</v>
      </c>
      <c r="K123" s="17" t="s">
        <v>773</v>
      </c>
      <c r="L123" s="32" t="s">
        <v>1017</v>
      </c>
      <c r="M123" s="61" t="s">
        <v>1018</v>
      </c>
      <c r="N123" s="23" t="s">
        <v>1019</v>
      </c>
      <c r="O123" s="23" t="s">
        <v>1020</v>
      </c>
      <c r="P123" s="9" t="s">
        <v>1021</v>
      </c>
      <c r="Q123" s="9" t="s">
        <v>1022</v>
      </c>
      <c r="R123" s="9"/>
      <c r="S123" s="9" t="s">
        <v>1023</v>
      </c>
      <c r="U123" s="42" t="str">
        <f t="shared" si="9"/>
        <v>TEK-11, L:Salassa pidettävä, E:Normaali, S:Normaali, TS:Erityinen henkilötietoryhmä</v>
      </c>
      <c r="V123" s="47" t="str">
        <f t="shared" si="10"/>
        <v>Katakri: I-09</v>
      </c>
      <c r="W123" s="47">
        <f>IFERROR(VLOOKUP(A123,Esiehdot!A$11:D$15,4,0), 0)</f>
        <v>1</v>
      </c>
      <c r="X123" s="47">
        <f>IF(Esiehdot!D$4&gt;=IFERROR(VLOOKUP(E123,Valintalistat!D$2:H$7,5,0), 99),1,0)</f>
        <v>0</v>
      </c>
      <c r="Y123" s="47">
        <f>IF(Esiehdot!D$5&gt;=IFERROR(VLOOKUP(F123,Valintalistat!E$2:H$5,4,0), 99),1,0)</f>
        <v>0</v>
      </c>
      <c r="Z123" s="47">
        <f>IF(Esiehdot!D$6&gt;=IFERROR(VLOOKUP(G123,Valintalistat!F$2:H$5,3,0),99),1,0)</f>
        <v>0</v>
      </c>
      <c r="AA123" s="47">
        <f>IF(Esiehdot!D$8&gt;=IFERROR(VLOOKUP(H123,Valintalistat!G$2:H$5,2,0),99),1,0)</f>
        <v>0</v>
      </c>
      <c r="AB123" s="47">
        <f t="shared" si="11"/>
        <v>0</v>
      </c>
      <c r="AC123" s="47">
        <f>IF(Esiehdot!E$4=IFERROR(VLOOKUP(E123,Valintalistat!D$2:H$7,5,0),99),1,0)</f>
        <v>1</v>
      </c>
      <c r="AD123" s="47">
        <f>IF(Esiehdot!E$5=IFERROR(VLOOKUP(F123,Valintalistat!E$2:H$5,4,0),99),1,0)</f>
        <v>1</v>
      </c>
      <c r="AE123" s="47">
        <f>IF(Esiehdot!E$6=IFERROR(VLOOKUP(G123,Valintalistat!F$2:H$5,3,0),99),1,0)</f>
        <v>1</v>
      </c>
      <c r="AF123" s="47">
        <f>IF(Esiehdot!E$8=IFERROR(VLOOKUP(H123,Valintalistat!G$2:H$3,2,0),98),1,0)</f>
        <v>0</v>
      </c>
      <c r="AG123" s="47">
        <f t="shared" si="12"/>
        <v>1</v>
      </c>
      <c r="AH123" s="47">
        <f>IFERROR(HLOOKUP(Esiehdot!$B$17,Käyttötapauskriteerit!G$1:P123,123,0),1)</f>
        <v>1</v>
      </c>
      <c r="AI123" s="47">
        <f t="shared" si="13"/>
        <v>0</v>
      </c>
      <c r="AJ123" s="47">
        <f t="shared" si="14"/>
        <v>0</v>
      </c>
      <c r="AK123" s="47">
        <f t="shared" si="15"/>
        <v>1</v>
      </c>
      <c r="AL123" s="47">
        <f t="shared" si="16"/>
        <v>0</v>
      </c>
      <c r="AM123" s="47"/>
      <c r="AN123" s="45" t="str">
        <f t="shared" si="17"/>
        <v>Valinnainen</v>
      </c>
      <c r="XDQ123" s="5"/>
      <c r="XDR123" s="5"/>
      <c r="XDS123" s="22"/>
      <c r="XDT123" s="22"/>
      <c r="XDU123" s="17"/>
      <c r="XDV123" s="17"/>
      <c r="XDW123" s="17"/>
      <c r="XDX123" s="17"/>
      <c r="XDY123" s="17"/>
      <c r="XDZ123" s="17"/>
      <c r="XEA123" s="17"/>
      <c r="XEB123" s="32"/>
      <c r="XEC123" s="23"/>
      <c r="XED123" s="23"/>
      <c r="XEE123" s="23"/>
      <c r="XEF123" s="9"/>
      <c r="XEG123" s="9"/>
      <c r="XEH123" s="9"/>
      <c r="XEI123" s="9"/>
      <c r="XEK123" s="5"/>
      <c r="XEL123" s="5"/>
      <c r="XEM123" s="22"/>
      <c r="XEN123" s="22"/>
      <c r="XEO123" s="17"/>
      <c r="XEP123" s="17"/>
      <c r="XEQ123" s="17"/>
      <c r="XER123" s="17"/>
      <c r="XES123" s="17"/>
      <c r="XET123" s="17"/>
      <c r="XEU123" s="17"/>
      <c r="XEV123" s="32"/>
      <c r="XEW123" s="23"/>
      <c r="XEX123" s="23"/>
      <c r="XEY123" s="23"/>
      <c r="XEZ123" s="9"/>
      <c r="XFA123" s="9"/>
      <c r="XFB123" s="9"/>
      <c r="XFC123" s="9"/>
    </row>
    <row r="124" spans="1:40 16345:16383" s="24" customFormat="1" ht="24.95">
      <c r="A124" s="5" t="s">
        <v>35</v>
      </c>
      <c r="B124" s="5" t="s">
        <v>921</v>
      </c>
      <c r="C124" s="22" t="s">
        <v>1024</v>
      </c>
      <c r="D124" s="22" t="s">
        <v>1016</v>
      </c>
      <c r="E124" s="17" t="s">
        <v>554</v>
      </c>
      <c r="F124" s="17"/>
      <c r="G124" s="17"/>
      <c r="H124" s="17"/>
      <c r="I124" s="17"/>
      <c r="J124" s="17" t="s">
        <v>511</v>
      </c>
      <c r="K124" s="17" t="s">
        <v>773</v>
      </c>
      <c r="L124" s="32" t="s">
        <v>1025</v>
      </c>
      <c r="M124" s="61" t="s">
        <v>721</v>
      </c>
      <c r="N124" s="23"/>
      <c r="O124" s="23" t="s">
        <v>1026</v>
      </c>
      <c r="P124" s="9" t="s">
        <v>1027</v>
      </c>
      <c r="Q124" s="9" t="s">
        <v>1022</v>
      </c>
      <c r="R124" s="9"/>
      <c r="S124" s="9" t="s">
        <v>1023</v>
      </c>
      <c r="U124" s="42" t="str">
        <f t="shared" si="9"/>
        <v>TEK-11.1, L:TL IV, E:, S:, TS:</v>
      </c>
      <c r="V124" s="47" t="str">
        <f t="shared" si="10"/>
        <v>Katakri: I-09</v>
      </c>
      <c r="W124" s="47">
        <f>IFERROR(VLOOKUP(A124,Esiehdot!A$11:D$15,4,0), 0)</f>
        <v>1</v>
      </c>
      <c r="X124" s="47">
        <f>IF(Esiehdot!D$4&gt;=IFERROR(VLOOKUP(E124,Valintalistat!D$2:H$7,5,0), 99),1,0)</f>
        <v>0</v>
      </c>
      <c r="Y124" s="47">
        <f>IF(Esiehdot!D$5&gt;=IFERROR(VLOOKUP(F124,Valintalistat!E$2:H$5,4,0), 99),1,0)</f>
        <v>0</v>
      </c>
      <c r="Z124" s="47">
        <f>IF(Esiehdot!D$6&gt;=IFERROR(VLOOKUP(G124,Valintalistat!F$2:H$5,3,0),99),1,0)</f>
        <v>0</v>
      </c>
      <c r="AA124" s="47">
        <f>IF(Esiehdot!D$8&gt;=IFERROR(VLOOKUP(H124,Valintalistat!G$2:H$5,2,0),99),1,0)</f>
        <v>0</v>
      </c>
      <c r="AB124" s="47">
        <f t="shared" si="11"/>
        <v>0</v>
      </c>
      <c r="AC124" s="47">
        <f>IF(Esiehdot!E$4=IFERROR(VLOOKUP(E124,Valintalistat!D$2:H$7,5,0),99),1,0)</f>
        <v>0</v>
      </c>
      <c r="AD124" s="47">
        <f>IF(Esiehdot!E$5=IFERROR(VLOOKUP(F124,Valintalistat!E$2:H$5,4,0),99),1,0)</f>
        <v>0</v>
      </c>
      <c r="AE124" s="47">
        <f>IF(Esiehdot!E$6=IFERROR(VLOOKUP(G124,Valintalistat!F$2:H$5,3,0),99),1,0)</f>
        <v>0</v>
      </c>
      <c r="AF124" s="47">
        <f>IF(Esiehdot!E$8=IFERROR(VLOOKUP(H124,Valintalistat!G$2:H$3,2,0),98),1,0)</f>
        <v>0</v>
      </c>
      <c r="AG124" s="47">
        <f t="shared" si="12"/>
        <v>0</v>
      </c>
      <c r="AH124" s="47">
        <f>IFERROR(HLOOKUP(Esiehdot!$B$17,Käyttötapauskriteerit!G$1:P124,124,0),1)</f>
        <v>1</v>
      </c>
      <c r="AI124" s="47">
        <f t="shared" si="13"/>
        <v>0</v>
      </c>
      <c r="AJ124" s="47">
        <f t="shared" si="14"/>
        <v>0</v>
      </c>
      <c r="AK124" s="47">
        <f t="shared" si="15"/>
        <v>0</v>
      </c>
      <c r="AL124" s="47">
        <f t="shared" si="16"/>
        <v>0</v>
      </c>
      <c r="AM124" s="47"/>
      <c r="AN124" s="45" t="str">
        <f t="shared" si="17"/>
        <v>Ei ehdoteta hankintaan</v>
      </c>
      <c r="XDQ124" s="5"/>
      <c r="XDR124" s="5"/>
      <c r="XDS124" s="22"/>
      <c r="XDT124" s="22"/>
      <c r="XDU124" s="17"/>
      <c r="XDV124" s="17"/>
      <c r="XDW124" s="17"/>
      <c r="XDX124" s="17"/>
      <c r="XDY124" s="17"/>
      <c r="XDZ124" s="17"/>
      <c r="XEA124" s="17"/>
      <c r="XEB124" s="32"/>
      <c r="XEC124" s="23"/>
      <c r="XED124" s="23"/>
      <c r="XEE124" s="23"/>
      <c r="XEF124" s="9"/>
      <c r="XEG124" s="9"/>
      <c r="XEH124" s="9"/>
      <c r="XEI124" s="9"/>
      <c r="XEK124" s="5"/>
      <c r="XEL124" s="5"/>
      <c r="XEM124" s="22"/>
      <c r="XEN124" s="22"/>
      <c r="XEO124" s="17"/>
      <c r="XEP124" s="17"/>
      <c r="XEQ124" s="17"/>
      <c r="XER124" s="17"/>
      <c r="XES124" s="17"/>
      <c r="XET124" s="17"/>
      <c r="XEU124" s="17"/>
      <c r="XEV124" s="32"/>
      <c r="XEW124" s="23"/>
      <c r="XEX124" s="23"/>
      <c r="XEY124" s="23"/>
      <c r="XEZ124" s="9"/>
      <c r="XFA124" s="9"/>
      <c r="XFB124" s="9"/>
      <c r="XFC124" s="9"/>
    </row>
    <row r="125" spans="1:40 16345:16383" s="24" customFormat="1" ht="24.95">
      <c r="A125" s="5" t="s">
        <v>35</v>
      </c>
      <c r="B125" s="5" t="s">
        <v>921</v>
      </c>
      <c r="C125" s="22" t="s">
        <v>1028</v>
      </c>
      <c r="D125" s="22" t="s">
        <v>1016</v>
      </c>
      <c r="E125" s="17" t="s">
        <v>446</v>
      </c>
      <c r="F125" s="17"/>
      <c r="G125" s="17"/>
      <c r="H125" s="17"/>
      <c r="I125" s="17"/>
      <c r="J125" s="17" t="s">
        <v>511</v>
      </c>
      <c r="K125" s="17" t="s">
        <v>773</v>
      </c>
      <c r="L125" s="32" t="s">
        <v>1029</v>
      </c>
      <c r="M125" s="61" t="s">
        <v>721</v>
      </c>
      <c r="N125" s="23" t="s">
        <v>1030</v>
      </c>
      <c r="O125" s="23" t="s">
        <v>1031</v>
      </c>
      <c r="P125" s="9" t="s">
        <v>1032</v>
      </c>
      <c r="Q125" s="9"/>
      <c r="R125" s="9"/>
      <c r="S125" s="9" t="s">
        <v>1023</v>
      </c>
      <c r="U125" s="42" t="str">
        <f t="shared" si="9"/>
        <v>TEK-11.2, L:TL III, E:, S:, TS:</v>
      </c>
      <c r="V125" s="42" t="str">
        <f t="shared" si="10"/>
        <v>Katakri: I-09</v>
      </c>
      <c r="W125" s="43">
        <f>IFERROR(VLOOKUP(A125,Esiehdot!A$11:D$15,4,0), 0)</f>
        <v>1</v>
      </c>
      <c r="X125" s="44">
        <f>IF(Esiehdot!D$4&gt;=IFERROR(VLOOKUP(E125,Valintalistat!D$2:H$7,5,0), 99),1,0)</f>
        <v>0</v>
      </c>
      <c r="Y125" s="44">
        <f>IF(Esiehdot!D$5&gt;=IFERROR(VLOOKUP(F125,Valintalistat!E$2:H$5,4,0), 99),1,0)</f>
        <v>0</v>
      </c>
      <c r="Z125" s="44">
        <f>IF(Esiehdot!D$6&gt;=IFERROR(VLOOKUP(G125,Valintalistat!F$2:H$5,3,0),99),1,0)</f>
        <v>0</v>
      </c>
      <c r="AA125" s="44">
        <f>IF(Esiehdot!D$8&gt;=IFERROR(VLOOKUP(H125,Valintalistat!G$2:H$5,2,0),99),1,0)</f>
        <v>0</v>
      </c>
      <c r="AB125" s="43">
        <f t="shared" si="11"/>
        <v>0</v>
      </c>
      <c r="AC125" s="44">
        <f>IF(Esiehdot!E$4=IFERROR(VLOOKUP(E125,Valintalistat!D$2:H$7,5,0),99),1,0)</f>
        <v>0</v>
      </c>
      <c r="AD125" s="44">
        <f>IF(Esiehdot!E$5=IFERROR(VLOOKUP(F125,Valintalistat!E$2:H$5,4,0),99),1,0)</f>
        <v>0</v>
      </c>
      <c r="AE125" s="44">
        <f>IF(Esiehdot!E$6=IFERROR(VLOOKUP(G125,Valintalistat!F$2:H$5,3,0),99),1,0)</f>
        <v>0</v>
      </c>
      <c r="AF125" s="44">
        <f>IF(Esiehdot!E$8=IFERROR(VLOOKUP(H125,Valintalistat!G$2:H$3,2,0),98),1,0)</f>
        <v>0</v>
      </c>
      <c r="AG125" s="43">
        <f t="shared" si="12"/>
        <v>0</v>
      </c>
      <c r="AH125" s="43">
        <f>IFERROR(HLOOKUP(Esiehdot!$B$17,Käyttötapauskriteerit!G$1:P125,125,0),1)</f>
        <v>1</v>
      </c>
      <c r="AI125" s="43">
        <f t="shared" si="13"/>
        <v>0</v>
      </c>
      <c r="AJ125" s="43">
        <f t="shared" si="14"/>
        <v>0</v>
      </c>
      <c r="AK125" s="43">
        <f t="shared" si="15"/>
        <v>0</v>
      </c>
      <c r="AL125" s="43">
        <f t="shared" si="16"/>
        <v>0</v>
      </c>
      <c r="AM125" s="43"/>
      <c r="AN125" s="45" t="str">
        <f t="shared" si="17"/>
        <v>Ei ehdoteta hankintaan</v>
      </c>
    </row>
    <row r="126" spans="1:40 16345:16383" s="24" customFormat="1" ht="24.95">
      <c r="A126" s="5" t="s">
        <v>35</v>
      </c>
      <c r="B126" s="5" t="s">
        <v>921</v>
      </c>
      <c r="C126" s="22" t="s">
        <v>1033</v>
      </c>
      <c r="D126" s="22" t="s">
        <v>1016</v>
      </c>
      <c r="E126" s="17" t="s">
        <v>571</v>
      </c>
      <c r="F126" s="17"/>
      <c r="G126" s="17"/>
      <c r="H126" s="17"/>
      <c r="I126" s="17"/>
      <c r="J126" s="17" t="s">
        <v>511</v>
      </c>
      <c r="K126" s="17" t="s">
        <v>773</v>
      </c>
      <c r="L126" s="32" t="s">
        <v>1034</v>
      </c>
      <c r="M126" s="61" t="s">
        <v>721</v>
      </c>
      <c r="N126" s="23"/>
      <c r="O126" s="23" t="s">
        <v>1035</v>
      </c>
      <c r="P126" s="9" t="s">
        <v>1036</v>
      </c>
      <c r="Q126" s="9"/>
      <c r="R126" s="9"/>
      <c r="S126" s="9" t="s">
        <v>1023</v>
      </c>
      <c r="U126" s="42" t="str">
        <f t="shared" si="9"/>
        <v>TEK-11.3, L:TL II, E:, S:, TS:</v>
      </c>
      <c r="V126" s="42" t="str">
        <f t="shared" si="10"/>
        <v>Katakri: I-09</v>
      </c>
      <c r="W126" s="43">
        <f>IFERROR(VLOOKUP(A126,Esiehdot!A$11:D$15,4,0), 0)</f>
        <v>1</v>
      </c>
      <c r="X126" s="44">
        <f>IF(Esiehdot!D$4&gt;=IFERROR(VLOOKUP(E126,Valintalistat!D$2:H$7,5,0), 99),1,0)</f>
        <v>0</v>
      </c>
      <c r="Y126" s="44">
        <f>IF(Esiehdot!D$5&gt;=IFERROR(VLOOKUP(F126,Valintalistat!E$2:H$5,4,0), 99),1,0)</f>
        <v>0</v>
      </c>
      <c r="Z126" s="44">
        <f>IF(Esiehdot!D$6&gt;=IFERROR(VLOOKUP(G126,Valintalistat!F$2:H$5,3,0),99),1,0)</f>
        <v>0</v>
      </c>
      <c r="AA126" s="44">
        <f>IF(Esiehdot!D$8&gt;=IFERROR(VLOOKUP(H126,Valintalistat!G$2:H$5,2,0),99),1,0)</f>
        <v>0</v>
      </c>
      <c r="AB126" s="43">
        <f t="shared" si="11"/>
        <v>0</v>
      </c>
      <c r="AC126" s="44">
        <f>IF(Esiehdot!E$4=IFERROR(VLOOKUP(E126,Valintalistat!D$2:H$7,5,0),99),1,0)</f>
        <v>0</v>
      </c>
      <c r="AD126" s="44">
        <f>IF(Esiehdot!E$5=IFERROR(VLOOKUP(F126,Valintalistat!E$2:H$5,4,0),99),1,0)</f>
        <v>0</v>
      </c>
      <c r="AE126" s="44">
        <f>IF(Esiehdot!E$6=IFERROR(VLOOKUP(G126,Valintalistat!F$2:H$5,3,0),99),1,0)</f>
        <v>0</v>
      </c>
      <c r="AF126" s="44">
        <f>IF(Esiehdot!E$8=IFERROR(VLOOKUP(H126,Valintalistat!G$2:H$3,2,0),98),1,0)</f>
        <v>0</v>
      </c>
      <c r="AG126" s="43">
        <f t="shared" si="12"/>
        <v>0</v>
      </c>
      <c r="AH126" s="43">
        <f>IFERROR(HLOOKUP(Esiehdot!$B$17,Käyttötapauskriteerit!G$1:P126,126,0),1)</f>
        <v>1</v>
      </c>
      <c r="AI126" s="43">
        <f t="shared" si="13"/>
        <v>0</v>
      </c>
      <c r="AJ126" s="43">
        <f t="shared" si="14"/>
        <v>0</v>
      </c>
      <c r="AK126" s="43">
        <f t="shared" si="15"/>
        <v>0</v>
      </c>
      <c r="AL126" s="43">
        <f t="shared" si="16"/>
        <v>0</v>
      </c>
      <c r="AM126" s="43"/>
      <c r="AN126" s="45" t="str">
        <f t="shared" si="17"/>
        <v>Ei ehdoteta hankintaan</v>
      </c>
    </row>
    <row r="127" spans="1:40 16345:16383" s="24" customFormat="1" ht="75">
      <c r="A127" s="5" t="s">
        <v>35</v>
      </c>
      <c r="B127" s="5" t="s">
        <v>921</v>
      </c>
      <c r="C127" s="22" t="s">
        <v>859</v>
      </c>
      <c r="D127" s="22"/>
      <c r="E127" s="17" t="s">
        <v>25</v>
      </c>
      <c r="F127" s="17" t="s">
        <v>27</v>
      </c>
      <c r="G127" s="17" t="s">
        <v>27</v>
      </c>
      <c r="H127" s="17" t="s">
        <v>260</v>
      </c>
      <c r="I127" s="17"/>
      <c r="J127" s="17" t="s">
        <v>511</v>
      </c>
      <c r="K127" s="17" t="s">
        <v>773</v>
      </c>
      <c r="L127" s="32" t="s">
        <v>1037</v>
      </c>
      <c r="M127" s="61" t="s">
        <v>1038</v>
      </c>
      <c r="N127" s="23" t="s">
        <v>1039</v>
      </c>
      <c r="O127" s="23" t="s">
        <v>1040</v>
      </c>
      <c r="P127" s="9" t="s">
        <v>1041</v>
      </c>
      <c r="Q127" s="9" t="s">
        <v>1042</v>
      </c>
      <c r="R127" s="9" t="s">
        <v>1043</v>
      </c>
      <c r="S127" s="9" t="s">
        <v>377</v>
      </c>
      <c r="U127" s="42" t="str">
        <f t="shared" si="9"/>
        <v>TEK-12, L:Julkinen, E:Vähäinen, S:Vähäinen, TS:Henkilötieto</v>
      </c>
      <c r="V127" s="42" t="str">
        <f t="shared" si="10"/>
        <v>Julkri: HAL-7.1; Katakri: I-10</v>
      </c>
      <c r="W127" s="43">
        <f>IFERROR(VLOOKUP(A127,Esiehdot!A$11:D$15,4,0), 0)</f>
        <v>1</v>
      </c>
      <c r="X127" s="44">
        <f>IF(Esiehdot!D$4&gt;=IFERROR(VLOOKUP(E127,Valintalistat!D$2:H$7,5,0), 99),1,0)</f>
        <v>1</v>
      </c>
      <c r="Y127" s="44">
        <f>IF(Esiehdot!D$5&gt;=IFERROR(VLOOKUP(F127,Valintalistat!E$2:H$5,4,0), 99),1,0)</f>
        <v>1</v>
      </c>
      <c r="Z127" s="44">
        <f>IF(Esiehdot!D$6&gt;=IFERROR(VLOOKUP(G127,Valintalistat!F$2:H$5,3,0),99),1,0)</f>
        <v>1</v>
      </c>
      <c r="AA127" s="44">
        <f>IF(Esiehdot!D$8&gt;=IFERROR(VLOOKUP(H127,Valintalistat!G$2:H$5,2,0),99),1,0)</f>
        <v>0</v>
      </c>
      <c r="AB127" s="43">
        <f t="shared" si="11"/>
        <v>1</v>
      </c>
      <c r="AC127" s="44">
        <f>IF(Esiehdot!E$4=IFERROR(VLOOKUP(E127,Valintalistat!D$2:H$7,5,0),99),1,0)</f>
        <v>0</v>
      </c>
      <c r="AD127" s="44">
        <f>IF(Esiehdot!E$5=IFERROR(VLOOKUP(F127,Valintalistat!E$2:H$5,4,0),99),1,0)</f>
        <v>0</v>
      </c>
      <c r="AE127" s="44">
        <f>IF(Esiehdot!E$6=IFERROR(VLOOKUP(G127,Valintalistat!F$2:H$5,3,0),99),1,0)</f>
        <v>0</v>
      </c>
      <c r="AF127" s="44">
        <f>IF(Esiehdot!E$8=IFERROR(VLOOKUP(H127,Valintalistat!G$2:H$3,2,0),98),1,0)</f>
        <v>0</v>
      </c>
      <c r="AG127" s="43">
        <f t="shared" si="12"/>
        <v>0</v>
      </c>
      <c r="AH127" s="43">
        <f>IFERROR(HLOOKUP(Esiehdot!$B$17,Käyttötapauskriteerit!G$1:P127,127,0),1)</f>
        <v>1</v>
      </c>
      <c r="AI127" s="43">
        <f t="shared" si="13"/>
        <v>1</v>
      </c>
      <c r="AJ127" s="43">
        <f t="shared" si="14"/>
        <v>0</v>
      </c>
      <c r="AK127" s="43">
        <f t="shared" si="15"/>
        <v>0</v>
      </c>
      <c r="AL127" s="43">
        <f t="shared" si="16"/>
        <v>0</v>
      </c>
      <c r="AM127" s="43"/>
      <c r="AN127" s="45" t="str">
        <f t="shared" si="17"/>
        <v>Olennainen</v>
      </c>
    </row>
    <row r="128" spans="1:40 16345:16383" s="24" customFormat="1" ht="62.45">
      <c r="A128" s="5" t="s">
        <v>35</v>
      </c>
      <c r="B128" s="5" t="s">
        <v>921</v>
      </c>
      <c r="C128" s="22" t="s">
        <v>1044</v>
      </c>
      <c r="D128" s="22" t="s">
        <v>859</v>
      </c>
      <c r="E128" s="17" t="s">
        <v>25</v>
      </c>
      <c r="F128" s="17" t="s">
        <v>27</v>
      </c>
      <c r="G128" s="17" t="s">
        <v>27</v>
      </c>
      <c r="H128" s="17" t="s">
        <v>260</v>
      </c>
      <c r="I128" s="17"/>
      <c r="J128" s="17" t="s">
        <v>511</v>
      </c>
      <c r="K128" s="17" t="s">
        <v>773</v>
      </c>
      <c r="L128" s="32" t="s">
        <v>1045</v>
      </c>
      <c r="M128" s="61" t="s">
        <v>1046</v>
      </c>
      <c r="N128" s="23" t="s">
        <v>1047</v>
      </c>
      <c r="O128" s="23"/>
      <c r="P128" s="9" t="s">
        <v>1048</v>
      </c>
      <c r="Q128" s="9"/>
      <c r="R128" s="9" t="s">
        <v>1049</v>
      </c>
      <c r="S128" s="9" t="s">
        <v>377</v>
      </c>
      <c r="U128" s="42" t="str">
        <f t="shared" si="9"/>
        <v>TEK-12.1, L:Julkinen, E:Vähäinen, S:Vähäinen, TS:Henkilötieto</v>
      </c>
      <c r="V128" s="42" t="str">
        <f t="shared" si="10"/>
        <v>Julkri: HAL-07.1, TSU-18; Katakri: I-10</v>
      </c>
      <c r="W128" s="43">
        <f>IFERROR(VLOOKUP(A128,Esiehdot!A$11:D$15,4,0), 0)</f>
        <v>1</v>
      </c>
      <c r="X128" s="44">
        <f>IF(Esiehdot!D$4&gt;=IFERROR(VLOOKUP(E128,Valintalistat!D$2:H$7,5,0), 99),1,0)</f>
        <v>1</v>
      </c>
      <c r="Y128" s="44">
        <f>IF(Esiehdot!D$5&gt;=IFERROR(VLOOKUP(F128,Valintalistat!E$2:H$5,4,0), 99),1,0)</f>
        <v>1</v>
      </c>
      <c r="Z128" s="44">
        <f>IF(Esiehdot!D$6&gt;=IFERROR(VLOOKUP(G128,Valintalistat!F$2:H$5,3,0),99),1,0)</f>
        <v>1</v>
      </c>
      <c r="AA128" s="44">
        <f>IF(Esiehdot!D$8&gt;=IFERROR(VLOOKUP(H128,Valintalistat!G$2:H$5,2,0),99),1,0)</f>
        <v>0</v>
      </c>
      <c r="AB128" s="43">
        <f t="shared" si="11"/>
        <v>1</v>
      </c>
      <c r="AC128" s="44">
        <f>IF(Esiehdot!E$4=IFERROR(VLOOKUP(E128,Valintalistat!D$2:H$7,5,0),99),1,0)</f>
        <v>0</v>
      </c>
      <c r="AD128" s="44">
        <f>IF(Esiehdot!E$5=IFERROR(VLOOKUP(F128,Valintalistat!E$2:H$5,4,0),99),1,0)</f>
        <v>0</v>
      </c>
      <c r="AE128" s="44">
        <f>IF(Esiehdot!E$6=IFERROR(VLOOKUP(G128,Valintalistat!F$2:H$5,3,0),99),1,0)</f>
        <v>0</v>
      </c>
      <c r="AF128" s="44">
        <f>IF(Esiehdot!E$8=IFERROR(VLOOKUP(H128,Valintalistat!G$2:H$3,2,0),98),1,0)</f>
        <v>0</v>
      </c>
      <c r="AG128" s="43">
        <f t="shared" si="12"/>
        <v>0</v>
      </c>
      <c r="AH128" s="43">
        <f>IFERROR(HLOOKUP(Esiehdot!$B$17,Käyttötapauskriteerit!G$1:P128,128,0),1)</f>
        <v>1</v>
      </c>
      <c r="AI128" s="43">
        <f t="shared" si="13"/>
        <v>1</v>
      </c>
      <c r="AJ128" s="43">
        <f t="shared" si="14"/>
        <v>0</v>
      </c>
      <c r="AK128" s="43">
        <f t="shared" si="15"/>
        <v>0</v>
      </c>
      <c r="AL128" s="43">
        <f t="shared" si="16"/>
        <v>0</v>
      </c>
      <c r="AM128" s="43"/>
      <c r="AN128" s="45" t="str">
        <f t="shared" si="17"/>
        <v>Olennainen</v>
      </c>
    </row>
    <row r="129" spans="1:40 16365:16383" s="24" customFormat="1" ht="50.1">
      <c r="A129" s="5" t="s">
        <v>35</v>
      </c>
      <c r="B129" s="5" t="s">
        <v>921</v>
      </c>
      <c r="C129" s="22" t="s">
        <v>1050</v>
      </c>
      <c r="D129" s="22" t="s">
        <v>859</v>
      </c>
      <c r="E129" s="17" t="s">
        <v>446</v>
      </c>
      <c r="F129" s="17"/>
      <c r="G129" s="17"/>
      <c r="H129" s="17"/>
      <c r="I129" s="17"/>
      <c r="J129" s="17" t="s">
        <v>511</v>
      </c>
      <c r="K129" s="17" t="s">
        <v>773</v>
      </c>
      <c r="L129" s="32" t="s">
        <v>1051</v>
      </c>
      <c r="M129" s="61" t="s">
        <v>1052</v>
      </c>
      <c r="N129" s="23" t="s">
        <v>1053</v>
      </c>
      <c r="O129" s="23" t="s">
        <v>1054</v>
      </c>
      <c r="P129" s="9" t="s">
        <v>1055</v>
      </c>
      <c r="Q129" s="9" t="s">
        <v>1056</v>
      </c>
      <c r="R129" s="9"/>
      <c r="S129" s="9" t="s">
        <v>377</v>
      </c>
      <c r="U129" s="42" t="str">
        <f t="shared" si="9"/>
        <v>TEK-12.2, L:TL III, E:, S:, TS:</v>
      </c>
      <c r="V129" s="42" t="str">
        <f t="shared" si="10"/>
        <v>Katakri: I-10</v>
      </c>
      <c r="W129" s="43">
        <f>IFERROR(VLOOKUP(A129,Esiehdot!A$11:D$15,4,0), 0)</f>
        <v>1</v>
      </c>
      <c r="X129" s="44">
        <f>IF(Esiehdot!D$4&gt;=IFERROR(VLOOKUP(E129,Valintalistat!D$2:H$7,5,0), 99),1,0)</f>
        <v>0</v>
      </c>
      <c r="Y129" s="44">
        <f>IF(Esiehdot!D$5&gt;=IFERROR(VLOOKUP(F129,Valintalistat!E$2:H$5,4,0), 99),1,0)</f>
        <v>0</v>
      </c>
      <c r="Z129" s="44">
        <f>IF(Esiehdot!D$6&gt;=IFERROR(VLOOKUP(G129,Valintalistat!F$2:H$5,3,0),99),1,0)</f>
        <v>0</v>
      </c>
      <c r="AA129" s="44">
        <f>IF(Esiehdot!D$8&gt;=IFERROR(VLOOKUP(H129,Valintalistat!G$2:H$5,2,0),99),1,0)</f>
        <v>0</v>
      </c>
      <c r="AB129" s="43">
        <f t="shared" si="11"/>
        <v>0</v>
      </c>
      <c r="AC129" s="44">
        <f>IF(Esiehdot!E$4=IFERROR(VLOOKUP(E129,Valintalistat!D$2:H$7,5,0),99),1,0)</f>
        <v>0</v>
      </c>
      <c r="AD129" s="44">
        <f>IF(Esiehdot!E$5=IFERROR(VLOOKUP(F129,Valintalistat!E$2:H$5,4,0),99),1,0)</f>
        <v>0</v>
      </c>
      <c r="AE129" s="44">
        <f>IF(Esiehdot!E$6=IFERROR(VLOOKUP(G129,Valintalistat!F$2:H$5,3,0),99),1,0)</f>
        <v>0</v>
      </c>
      <c r="AF129" s="44">
        <f>IF(Esiehdot!E$8=IFERROR(VLOOKUP(H129,Valintalistat!G$2:H$3,2,0),98),1,0)</f>
        <v>0</v>
      </c>
      <c r="AG129" s="43">
        <f t="shared" si="12"/>
        <v>0</v>
      </c>
      <c r="AH129" s="43">
        <f>IFERROR(HLOOKUP(Esiehdot!$B$17,Käyttötapauskriteerit!G$1:P129,129,0),1)</f>
        <v>1</v>
      </c>
      <c r="AI129" s="43">
        <f t="shared" si="13"/>
        <v>0</v>
      </c>
      <c r="AJ129" s="43">
        <f t="shared" si="14"/>
        <v>0</v>
      </c>
      <c r="AK129" s="43">
        <f t="shared" si="15"/>
        <v>0</v>
      </c>
      <c r="AL129" s="43">
        <f t="shared" si="16"/>
        <v>0</v>
      </c>
      <c r="AM129" s="43"/>
      <c r="AN129" s="45" t="str">
        <f t="shared" si="17"/>
        <v>Ei ehdoteta hankintaan</v>
      </c>
    </row>
    <row r="130" spans="1:40 16365:16383" s="24" customFormat="1" ht="24.95">
      <c r="A130" s="5" t="s">
        <v>35</v>
      </c>
      <c r="B130" s="5" t="s">
        <v>921</v>
      </c>
      <c r="C130" s="22" t="s">
        <v>1057</v>
      </c>
      <c r="D130" s="22" t="s">
        <v>859</v>
      </c>
      <c r="E130" s="17" t="s">
        <v>543</v>
      </c>
      <c r="F130" s="17"/>
      <c r="G130" s="17"/>
      <c r="H130" s="17"/>
      <c r="I130" s="17"/>
      <c r="J130" s="17" t="s">
        <v>511</v>
      </c>
      <c r="K130" s="17" t="s">
        <v>773</v>
      </c>
      <c r="L130" s="32" t="s">
        <v>1058</v>
      </c>
      <c r="M130" s="61" t="s">
        <v>721</v>
      </c>
      <c r="N130" s="23"/>
      <c r="O130" s="23" t="s">
        <v>1059</v>
      </c>
      <c r="P130" s="9" t="s">
        <v>1055</v>
      </c>
      <c r="Q130" s="9"/>
      <c r="R130" s="9"/>
      <c r="S130" s="9" t="s">
        <v>377</v>
      </c>
      <c r="U130" s="42" t="str">
        <f t="shared" si="9"/>
        <v>TEK-12.3, L:TL I, E:, S:, TS:</v>
      </c>
      <c r="V130" s="42" t="str">
        <f t="shared" si="10"/>
        <v>Katakri: I-10</v>
      </c>
      <c r="W130" s="43">
        <f>IFERROR(VLOOKUP(A130,Esiehdot!A$11:D$15,4,0), 0)</f>
        <v>1</v>
      </c>
      <c r="X130" s="44">
        <f>IF(Esiehdot!D$4&gt;=IFERROR(VLOOKUP(E130,Valintalistat!D$2:H$7,5,0), 99),1,0)</f>
        <v>0</v>
      </c>
      <c r="Y130" s="44">
        <f>IF(Esiehdot!D$5&gt;=IFERROR(VLOOKUP(F130,Valintalistat!E$2:H$5,4,0), 99),1,0)</f>
        <v>0</v>
      </c>
      <c r="Z130" s="44">
        <f>IF(Esiehdot!D$6&gt;=IFERROR(VLOOKUP(G130,Valintalistat!F$2:H$5,3,0),99),1,0)</f>
        <v>0</v>
      </c>
      <c r="AA130" s="44">
        <f>IF(Esiehdot!D$8&gt;=IFERROR(VLOOKUP(H130,Valintalistat!G$2:H$5,2,0),99),1,0)</f>
        <v>0</v>
      </c>
      <c r="AB130" s="43">
        <f t="shared" si="11"/>
        <v>0</v>
      </c>
      <c r="AC130" s="44">
        <f>IF(Esiehdot!E$4=IFERROR(VLOOKUP(E130,Valintalistat!D$2:H$7,5,0),99),1,0)</f>
        <v>0</v>
      </c>
      <c r="AD130" s="44">
        <f>IF(Esiehdot!E$5=IFERROR(VLOOKUP(F130,Valintalistat!E$2:H$5,4,0),99),1,0)</f>
        <v>0</v>
      </c>
      <c r="AE130" s="44">
        <f>IF(Esiehdot!E$6=IFERROR(VLOOKUP(G130,Valintalistat!F$2:H$5,3,0),99),1,0)</f>
        <v>0</v>
      </c>
      <c r="AF130" s="44">
        <f>IF(Esiehdot!E$8=IFERROR(VLOOKUP(H130,Valintalistat!G$2:H$3,2,0),98),1,0)</f>
        <v>0</v>
      </c>
      <c r="AG130" s="43">
        <f t="shared" si="12"/>
        <v>0</v>
      </c>
      <c r="AH130" s="43">
        <f>IFERROR(HLOOKUP(Esiehdot!$B$17,Käyttötapauskriteerit!G$1:P130,130,0),1)</f>
        <v>1</v>
      </c>
      <c r="AI130" s="43">
        <f t="shared" si="13"/>
        <v>0</v>
      </c>
      <c r="AJ130" s="43">
        <f t="shared" si="14"/>
        <v>0</v>
      </c>
      <c r="AK130" s="43">
        <f t="shared" si="15"/>
        <v>0</v>
      </c>
      <c r="AL130" s="43">
        <f t="shared" si="16"/>
        <v>0</v>
      </c>
      <c r="AM130" s="43"/>
      <c r="AN130" s="45" t="str">
        <f t="shared" si="17"/>
        <v>Ei ehdoteta hankintaan</v>
      </c>
    </row>
    <row r="131" spans="1:40 16365:16383" s="24" customFormat="1" ht="99.95">
      <c r="A131" s="5" t="s">
        <v>35</v>
      </c>
      <c r="B131" s="5" t="s">
        <v>921</v>
      </c>
      <c r="C131" s="22" t="s">
        <v>1060</v>
      </c>
      <c r="D131" s="22"/>
      <c r="E131" s="17" t="s">
        <v>276</v>
      </c>
      <c r="F131" s="17" t="s">
        <v>277</v>
      </c>
      <c r="G131" s="17" t="s">
        <v>277</v>
      </c>
      <c r="H131" s="17" t="s">
        <v>278</v>
      </c>
      <c r="I131" s="17"/>
      <c r="J131" s="17" t="s">
        <v>511</v>
      </c>
      <c r="K131" s="17" t="s">
        <v>773</v>
      </c>
      <c r="L131" s="32" t="s">
        <v>1061</v>
      </c>
      <c r="M131" s="61" t="s">
        <v>1062</v>
      </c>
      <c r="N131" s="23" t="s">
        <v>1063</v>
      </c>
      <c r="O131" s="23" t="s">
        <v>1064</v>
      </c>
      <c r="P131" s="9" t="s">
        <v>1065</v>
      </c>
      <c r="Q131" s="9" t="s">
        <v>1066</v>
      </c>
      <c r="R131" s="9" t="s">
        <v>1067</v>
      </c>
      <c r="S131" s="9" t="s">
        <v>1068</v>
      </c>
      <c r="U131" s="42" t="str">
        <f t="shared" ref="U131:U194" si="18">CONCATENATE(C131,", L:",E131,", E:",F131,", S:",G131,", TS:",H131)</f>
        <v>TEK-13, L:Salassa pidettävä, E:Tärkeä, S:Tärkeä, TS:Erityinen henkilötietoryhmä</v>
      </c>
      <c r="V131" s="42" t="str">
        <f t="shared" ref="V131:V194" si="19">IF(R131="",IF(S131="","",CONCATENATE("Katakri: ",S131)),IF(S131="",CONCATENATE("Julkri: ",R131),CONCATENATE("Julkri: ",R131,"; Katakri: ",S131)))</f>
        <v>Julkri: TEK-17; Katakri: I-11, T-07, T-12</v>
      </c>
      <c r="W131" s="43">
        <f>IFERROR(VLOOKUP(A131,Esiehdot!A$11:D$15,4,0), 0)</f>
        <v>1</v>
      </c>
      <c r="X131" s="44">
        <f>IF(Esiehdot!D$4&gt;=IFERROR(VLOOKUP(E131,Valintalistat!D$2:H$7,5,0), 99),1,0)</f>
        <v>0</v>
      </c>
      <c r="Y131" s="44">
        <f>IF(Esiehdot!D$5&gt;=IFERROR(VLOOKUP(F131,Valintalistat!E$2:H$5,4,0), 99),1,0)</f>
        <v>0</v>
      </c>
      <c r="Z131" s="44">
        <f>IF(Esiehdot!D$6&gt;=IFERROR(VLOOKUP(G131,Valintalistat!F$2:H$5,3,0),99),1,0)</f>
        <v>0</v>
      </c>
      <c r="AA131" s="44">
        <f>IF(Esiehdot!D$8&gt;=IFERROR(VLOOKUP(H131,Valintalistat!G$2:H$5,2,0),99),1,0)</f>
        <v>0</v>
      </c>
      <c r="AB131" s="43">
        <f t="shared" ref="AB131:AB194" si="20">IF(X131+Y131+Z131+AA131=0,0,1)</f>
        <v>0</v>
      </c>
      <c r="AC131" s="44">
        <f>IF(Esiehdot!E$4=IFERROR(VLOOKUP(E131,Valintalistat!D$2:H$7,5,0),99),1,0)</f>
        <v>1</v>
      </c>
      <c r="AD131" s="44">
        <f>IF(Esiehdot!E$5=IFERROR(VLOOKUP(F131,Valintalistat!E$2:H$5,4,0),99),1,0)</f>
        <v>0</v>
      </c>
      <c r="AE131" s="44">
        <f>IF(Esiehdot!E$6=IFERROR(VLOOKUP(G131,Valintalistat!F$2:H$5,3,0),99),1,0)</f>
        <v>0</v>
      </c>
      <c r="AF131" s="44">
        <f>IF(Esiehdot!E$8=IFERROR(VLOOKUP(H131,Valintalistat!G$2:H$3,2,0),98),1,0)</f>
        <v>0</v>
      </c>
      <c r="AG131" s="43">
        <f t="shared" ref="AG131:AG194" si="21">IF(AC131+AD131+AE131+AF131&gt;X131+Y131+Z131+AA131,1,0)</f>
        <v>1</v>
      </c>
      <c r="AH131" s="43">
        <f>IFERROR(HLOOKUP(Esiehdot!$B$17,Käyttötapauskriteerit!G$1:P131,131,0),1)</f>
        <v>1</v>
      </c>
      <c r="AI131" s="43">
        <f t="shared" ref="AI131:AI194" si="22">IF(W131*AB131*AH131=1,1,0)</f>
        <v>0</v>
      </c>
      <c r="AJ131" s="43">
        <f t="shared" ref="AJ131:AJ194" si="23">IF(W131*AB131*AH131=2,1,0)</f>
        <v>0</v>
      </c>
      <c r="AK131" s="43">
        <f t="shared" ref="AK131:AK194" si="24">IF(W131*AG131*AH131=1,1,0)</f>
        <v>1</v>
      </c>
      <c r="AL131" s="43">
        <f t="shared" ref="AL131:AL194" si="25">IF(W131*AG131*AH131=2,1,0)</f>
        <v>0</v>
      </c>
      <c r="AM131" s="43"/>
      <c r="AN131" s="45" t="str">
        <f t="shared" ref="AN131:AN194" si="26">IF(C131="","",IF(AI131=1,"Olennainen",IF(AJ131=1,"Valinnainen",IF(AK131=1,"Valinnainen",IF(AL131=1,"Valinnainen","Ei ehdoteta hankintaan")))))</f>
        <v>Valinnainen</v>
      </c>
    </row>
    <row r="132" spans="1:40 16365:16383" s="24" customFormat="1" ht="24.95">
      <c r="A132" s="5" t="s">
        <v>35</v>
      </c>
      <c r="B132" s="5" t="s">
        <v>921</v>
      </c>
      <c r="C132" s="22" t="s">
        <v>1069</v>
      </c>
      <c r="D132" s="22" t="s">
        <v>1060</v>
      </c>
      <c r="E132" s="17" t="s">
        <v>276</v>
      </c>
      <c r="F132" s="17" t="s">
        <v>277</v>
      </c>
      <c r="G132" s="17"/>
      <c r="H132" s="17" t="s">
        <v>278</v>
      </c>
      <c r="I132" s="17"/>
      <c r="J132" s="17" t="s">
        <v>511</v>
      </c>
      <c r="K132" s="17" t="s">
        <v>773</v>
      </c>
      <c r="L132" s="32" t="s">
        <v>1070</v>
      </c>
      <c r="M132" s="61" t="s">
        <v>721</v>
      </c>
      <c r="N132" s="23"/>
      <c r="O132" s="23" t="s">
        <v>1071</v>
      </c>
      <c r="P132" s="9" t="s">
        <v>1072</v>
      </c>
      <c r="Q132" s="9" t="s">
        <v>1073</v>
      </c>
      <c r="R132" s="9"/>
      <c r="S132" s="9" t="s">
        <v>1074</v>
      </c>
      <c r="U132" s="42" t="str">
        <f t="shared" si="18"/>
        <v>TEK-13.1, L:Salassa pidettävä, E:Tärkeä, S:, TS:Erityinen henkilötietoryhmä</v>
      </c>
      <c r="V132" s="42" t="str">
        <f t="shared" si="19"/>
        <v>Katakri: I-11</v>
      </c>
      <c r="W132" s="43">
        <f>IFERROR(VLOOKUP(A132,Esiehdot!A$11:D$15,4,0), 0)</f>
        <v>1</v>
      </c>
      <c r="X132" s="44">
        <f>IF(Esiehdot!D$4&gt;=IFERROR(VLOOKUP(E132,Valintalistat!D$2:H$7,5,0), 99),1,0)</f>
        <v>0</v>
      </c>
      <c r="Y132" s="44">
        <f>IF(Esiehdot!D$5&gt;=IFERROR(VLOOKUP(F132,Valintalistat!E$2:H$5,4,0), 99),1,0)</f>
        <v>0</v>
      </c>
      <c r="Z132" s="44">
        <f>IF(Esiehdot!D$6&gt;=IFERROR(VLOOKUP(G132,Valintalistat!F$2:H$5,3,0),99),1,0)</f>
        <v>0</v>
      </c>
      <c r="AA132" s="44">
        <f>IF(Esiehdot!D$8&gt;=IFERROR(VLOOKUP(H132,Valintalistat!G$2:H$5,2,0),99),1,0)</f>
        <v>0</v>
      </c>
      <c r="AB132" s="43">
        <f t="shared" si="20"/>
        <v>0</v>
      </c>
      <c r="AC132" s="44">
        <f>IF(Esiehdot!E$4=IFERROR(VLOOKUP(E132,Valintalistat!D$2:H$7,5,0),99),1,0)</f>
        <v>1</v>
      </c>
      <c r="AD132" s="44">
        <f>IF(Esiehdot!E$5=IFERROR(VLOOKUP(F132,Valintalistat!E$2:H$5,4,0),99),1,0)</f>
        <v>0</v>
      </c>
      <c r="AE132" s="44">
        <f>IF(Esiehdot!E$6=IFERROR(VLOOKUP(G132,Valintalistat!F$2:H$5,3,0),99),1,0)</f>
        <v>0</v>
      </c>
      <c r="AF132" s="44">
        <f>IF(Esiehdot!E$8=IFERROR(VLOOKUP(H132,Valintalistat!G$2:H$3,2,0),98),1,0)</f>
        <v>0</v>
      </c>
      <c r="AG132" s="43">
        <f t="shared" si="21"/>
        <v>1</v>
      </c>
      <c r="AH132" s="43">
        <f>IFERROR(HLOOKUP(Esiehdot!$B$17,Käyttötapauskriteerit!G$1:P132,132,0),1)</f>
        <v>1</v>
      </c>
      <c r="AI132" s="43">
        <f t="shared" si="22"/>
        <v>0</v>
      </c>
      <c r="AJ132" s="43">
        <f t="shared" si="23"/>
        <v>0</v>
      </c>
      <c r="AK132" s="43">
        <f t="shared" si="24"/>
        <v>1</v>
      </c>
      <c r="AL132" s="43">
        <f t="shared" si="25"/>
        <v>0</v>
      </c>
      <c r="AM132" s="43"/>
      <c r="AN132" s="45" t="str">
        <f t="shared" si="26"/>
        <v>Valinnainen</v>
      </c>
    </row>
    <row r="133" spans="1:40 16365:16383" ht="24.95">
      <c r="A133" s="5" t="s">
        <v>35</v>
      </c>
      <c r="B133" s="5" t="s">
        <v>921</v>
      </c>
      <c r="C133" s="22" t="s">
        <v>1075</v>
      </c>
      <c r="D133" s="22" t="s">
        <v>1060</v>
      </c>
      <c r="E133" s="17" t="s">
        <v>554</v>
      </c>
      <c r="F133" s="17" t="s">
        <v>277</v>
      </c>
      <c r="G133" s="17"/>
      <c r="H133" s="17"/>
      <c r="I133" s="17"/>
      <c r="J133" s="17" t="s">
        <v>511</v>
      </c>
      <c r="K133" s="17" t="s">
        <v>773</v>
      </c>
      <c r="L133" s="32" t="s">
        <v>1076</v>
      </c>
      <c r="M133" s="61" t="s">
        <v>721</v>
      </c>
      <c r="N133" s="23"/>
      <c r="O133" s="23" t="s">
        <v>1077</v>
      </c>
      <c r="P133" s="9" t="s">
        <v>1072</v>
      </c>
      <c r="Q133" s="9" t="s">
        <v>1073</v>
      </c>
      <c r="R133" s="9"/>
      <c r="S133" s="9" t="s">
        <v>1074</v>
      </c>
      <c r="U133" s="42" t="str">
        <f t="shared" si="18"/>
        <v>TEK-13.2, L:TL IV, E:Tärkeä, S:, TS:</v>
      </c>
      <c r="V133" s="42" t="str">
        <f t="shared" si="19"/>
        <v>Katakri: I-11</v>
      </c>
      <c r="W133" s="43">
        <f>IFERROR(VLOOKUP(A133,Esiehdot!A$11:D$15,4,0), 0)</f>
        <v>1</v>
      </c>
      <c r="X133" s="44">
        <f>IF(Esiehdot!D$4&gt;=IFERROR(VLOOKUP(E133,Valintalistat!D$2:H$7,5,0), 99),1,0)</f>
        <v>0</v>
      </c>
      <c r="Y133" s="44">
        <f>IF(Esiehdot!D$5&gt;=IFERROR(VLOOKUP(F133,Valintalistat!E$2:H$5,4,0), 99),1,0)</f>
        <v>0</v>
      </c>
      <c r="Z133" s="44">
        <f>IF(Esiehdot!D$6&gt;=IFERROR(VLOOKUP(G133,Valintalistat!F$2:H$5,3,0),99),1,0)</f>
        <v>0</v>
      </c>
      <c r="AA133" s="44">
        <f>IF(Esiehdot!D$8&gt;=IFERROR(VLOOKUP(H133,Valintalistat!G$2:H$5,2,0),99),1,0)</f>
        <v>0</v>
      </c>
      <c r="AB133" s="43">
        <f t="shared" si="20"/>
        <v>0</v>
      </c>
      <c r="AC133" s="44">
        <f>IF(Esiehdot!E$4=IFERROR(VLOOKUP(E133,Valintalistat!D$2:H$7,5,0),99),1,0)</f>
        <v>0</v>
      </c>
      <c r="AD133" s="44">
        <f>IF(Esiehdot!E$5=IFERROR(VLOOKUP(F133,Valintalistat!E$2:H$5,4,0),99),1,0)</f>
        <v>0</v>
      </c>
      <c r="AE133" s="44">
        <f>IF(Esiehdot!E$6=IFERROR(VLOOKUP(G133,Valintalistat!F$2:H$5,3,0),99),1,0)</f>
        <v>0</v>
      </c>
      <c r="AF133" s="44">
        <f>IF(Esiehdot!E$8=IFERROR(VLOOKUP(H133,Valintalistat!G$2:H$3,2,0),98),1,0)</f>
        <v>0</v>
      </c>
      <c r="AG133" s="43">
        <f t="shared" si="21"/>
        <v>0</v>
      </c>
      <c r="AH133" s="43">
        <f>IFERROR(HLOOKUP(Esiehdot!$B$17,Käyttötapauskriteerit!G$1:P133,133,0),1)</f>
        <v>1</v>
      </c>
      <c r="AI133" s="43">
        <f t="shared" si="22"/>
        <v>0</v>
      </c>
      <c r="AJ133" s="43">
        <f t="shared" si="23"/>
        <v>0</v>
      </c>
      <c r="AK133" s="43">
        <f t="shared" si="24"/>
        <v>0</v>
      </c>
      <c r="AL133" s="43">
        <f t="shared" si="25"/>
        <v>0</v>
      </c>
      <c r="AM133" s="43"/>
      <c r="AN133" s="45" t="str">
        <f t="shared" si="26"/>
        <v>Ei ehdoteta hankintaan</v>
      </c>
    </row>
    <row r="134" spans="1:40 16365:16383" s="24" customFormat="1" ht="37.5">
      <c r="A134" s="5" t="s">
        <v>35</v>
      </c>
      <c r="B134" s="5" t="s">
        <v>921</v>
      </c>
      <c r="C134" s="22" t="s">
        <v>1078</v>
      </c>
      <c r="D134" s="22" t="s">
        <v>1060</v>
      </c>
      <c r="E134" s="17" t="s">
        <v>543</v>
      </c>
      <c r="F134" s="17"/>
      <c r="G134" s="17"/>
      <c r="H134" s="17"/>
      <c r="I134" s="17"/>
      <c r="J134" s="17" t="s">
        <v>511</v>
      </c>
      <c r="K134" s="17" t="s">
        <v>773</v>
      </c>
      <c r="L134" s="32" t="s">
        <v>1079</v>
      </c>
      <c r="M134" s="61" t="s">
        <v>1080</v>
      </c>
      <c r="N134" s="23"/>
      <c r="O134" s="23" t="s">
        <v>1081</v>
      </c>
      <c r="P134" s="9" t="s">
        <v>1072</v>
      </c>
      <c r="Q134" s="9" t="s">
        <v>1082</v>
      </c>
      <c r="R134" s="9"/>
      <c r="S134" s="9" t="s">
        <v>1074</v>
      </c>
      <c r="U134" s="42" t="str">
        <f t="shared" si="18"/>
        <v>TEK-13.3, L:TL I, E:, S:, TS:</v>
      </c>
      <c r="V134" s="47" t="str">
        <f t="shared" si="19"/>
        <v>Katakri: I-11</v>
      </c>
      <c r="W134" s="47">
        <f>IFERROR(VLOOKUP(A134,Esiehdot!A$11:D$15,4,0), 0)</f>
        <v>1</v>
      </c>
      <c r="X134" s="47">
        <f>IF(Esiehdot!D$4&gt;=IFERROR(VLOOKUP(E134,Valintalistat!D$2:H$7,5,0), 99),1,0)</f>
        <v>0</v>
      </c>
      <c r="Y134" s="47">
        <f>IF(Esiehdot!D$5&gt;=IFERROR(VLOOKUP(F134,Valintalistat!E$2:H$5,4,0), 99),1,0)</f>
        <v>0</v>
      </c>
      <c r="Z134" s="47">
        <f>IF(Esiehdot!D$6&gt;=IFERROR(VLOOKUP(G134,Valintalistat!F$2:H$5,3,0),99),1,0)</f>
        <v>0</v>
      </c>
      <c r="AA134" s="47">
        <f>IF(Esiehdot!D$8&gt;=IFERROR(VLOOKUP(H134,Valintalistat!G$2:H$5,2,0),99),1,0)</f>
        <v>0</v>
      </c>
      <c r="AB134" s="47">
        <f t="shared" si="20"/>
        <v>0</v>
      </c>
      <c r="AC134" s="47">
        <f>IF(Esiehdot!E$4=IFERROR(VLOOKUP(E134,Valintalistat!D$2:H$7,5,0),99),1,0)</f>
        <v>0</v>
      </c>
      <c r="AD134" s="47">
        <f>IF(Esiehdot!E$5=IFERROR(VLOOKUP(F134,Valintalistat!E$2:H$5,4,0),99),1,0)</f>
        <v>0</v>
      </c>
      <c r="AE134" s="47">
        <f>IF(Esiehdot!E$6=IFERROR(VLOOKUP(G134,Valintalistat!F$2:H$5,3,0),99),1,0)</f>
        <v>0</v>
      </c>
      <c r="AF134" s="47">
        <f>IF(Esiehdot!E$8=IFERROR(VLOOKUP(H134,Valintalistat!G$2:H$3,2,0),98),1,0)</f>
        <v>0</v>
      </c>
      <c r="AG134" s="47">
        <f t="shared" si="21"/>
        <v>0</v>
      </c>
      <c r="AH134" s="47">
        <f>IFERROR(HLOOKUP(Esiehdot!$B$17,Käyttötapauskriteerit!G$1:P134,134,0),1)</f>
        <v>1</v>
      </c>
      <c r="AI134" s="47">
        <f t="shared" si="22"/>
        <v>0</v>
      </c>
      <c r="AJ134" s="47">
        <f t="shared" si="23"/>
        <v>0</v>
      </c>
      <c r="AK134" s="47">
        <f t="shared" si="24"/>
        <v>0</v>
      </c>
      <c r="AL134" s="47">
        <f t="shared" si="25"/>
        <v>0</v>
      </c>
      <c r="AM134" s="47"/>
      <c r="AN134" s="45" t="str">
        <f t="shared" si="26"/>
        <v>Ei ehdoteta hankintaan</v>
      </c>
      <c r="XEK134" s="5"/>
      <c r="XEL134" s="5"/>
      <c r="XEM134" s="22"/>
      <c r="XEN134" s="22"/>
      <c r="XEO134" s="17"/>
      <c r="XEP134" s="17"/>
      <c r="XEQ134" s="17"/>
      <c r="XER134" s="17"/>
      <c r="XES134" s="17"/>
      <c r="XET134" s="17"/>
      <c r="XEU134" s="17"/>
      <c r="XEV134" s="32"/>
      <c r="XEW134" s="23"/>
      <c r="XEX134" s="23"/>
      <c r="XEY134" s="23"/>
      <c r="XEZ134" s="9"/>
      <c r="XFA134" s="9"/>
      <c r="XFB134" s="9"/>
      <c r="XFC134" s="9"/>
    </row>
    <row r="135" spans="1:40 16365:16383" s="24" customFormat="1" ht="99.95">
      <c r="A135" s="5" t="s">
        <v>35</v>
      </c>
      <c r="B135" s="5" t="s">
        <v>921</v>
      </c>
      <c r="C135" s="22" t="s">
        <v>1083</v>
      </c>
      <c r="D135" s="22"/>
      <c r="E135" s="17" t="s">
        <v>25</v>
      </c>
      <c r="F135" s="17" t="s">
        <v>27</v>
      </c>
      <c r="G135" s="17" t="s">
        <v>27</v>
      </c>
      <c r="H135" s="17" t="s">
        <v>260</v>
      </c>
      <c r="I135" s="17"/>
      <c r="J135" s="17" t="s">
        <v>511</v>
      </c>
      <c r="K135" s="17" t="s">
        <v>773</v>
      </c>
      <c r="L135" s="32" t="s">
        <v>1084</v>
      </c>
      <c r="M135" s="61" t="s">
        <v>1085</v>
      </c>
      <c r="N135" s="23" t="s">
        <v>1086</v>
      </c>
      <c r="O135" s="23" t="s">
        <v>1087</v>
      </c>
      <c r="P135" s="9" t="s">
        <v>1088</v>
      </c>
      <c r="Q135" s="9" t="s">
        <v>1089</v>
      </c>
      <c r="R135" s="9" t="s">
        <v>466</v>
      </c>
      <c r="S135" s="9" t="s">
        <v>473</v>
      </c>
      <c r="U135" s="42" t="str">
        <f t="shared" si="18"/>
        <v>TEK-14, L:Julkinen, E:Vähäinen, S:Vähäinen, TS:Henkilötieto</v>
      </c>
      <c r="V135" s="42" t="str">
        <f t="shared" si="19"/>
        <v>Julkri: HAL-16; Katakri: I-13</v>
      </c>
      <c r="W135" s="43">
        <f>IFERROR(VLOOKUP(A135,Esiehdot!A$11:D$15,4,0), 0)</f>
        <v>1</v>
      </c>
      <c r="X135" s="44">
        <f>IF(Esiehdot!D$4&gt;=IFERROR(VLOOKUP(E135,Valintalistat!D$2:H$7,5,0), 99),1,0)</f>
        <v>1</v>
      </c>
      <c r="Y135" s="44">
        <f>IF(Esiehdot!D$5&gt;=IFERROR(VLOOKUP(F135,Valintalistat!E$2:H$5,4,0), 99),1,0)</f>
        <v>1</v>
      </c>
      <c r="Z135" s="44">
        <f>IF(Esiehdot!D$6&gt;=IFERROR(VLOOKUP(G135,Valintalistat!F$2:H$5,3,0),99),1,0)</f>
        <v>1</v>
      </c>
      <c r="AA135" s="44">
        <f>IF(Esiehdot!D$8&gt;=IFERROR(VLOOKUP(H135,Valintalistat!G$2:H$5,2,0),99),1,0)</f>
        <v>0</v>
      </c>
      <c r="AB135" s="43">
        <f t="shared" si="20"/>
        <v>1</v>
      </c>
      <c r="AC135" s="44">
        <f>IF(Esiehdot!E$4=IFERROR(VLOOKUP(E135,Valintalistat!D$2:H$7,5,0),99),1,0)</f>
        <v>0</v>
      </c>
      <c r="AD135" s="44">
        <f>IF(Esiehdot!E$5=IFERROR(VLOOKUP(F135,Valintalistat!E$2:H$5,4,0),99),1,0)</f>
        <v>0</v>
      </c>
      <c r="AE135" s="44">
        <f>IF(Esiehdot!E$6=IFERROR(VLOOKUP(G135,Valintalistat!F$2:H$5,3,0),99),1,0)</f>
        <v>0</v>
      </c>
      <c r="AF135" s="44">
        <f>IF(Esiehdot!E$8=IFERROR(VLOOKUP(H135,Valintalistat!G$2:H$3,2,0),98),1,0)</f>
        <v>0</v>
      </c>
      <c r="AG135" s="43">
        <f t="shared" si="21"/>
        <v>0</v>
      </c>
      <c r="AH135" s="43">
        <f>IFERROR(HLOOKUP(Esiehdot!$B$17,Käyttötapauskriteerit!G$1:P135,135,0),1)</f>
        <v>1</v>
      </c>
      <c r="AI135" s="43">
        <f t="shared" si="22"/>
        <v>1</v>
      </c>
      <c r="AJ135" s="43">
        <f t="shared" si="23"/>
        <v>0</v>
      </c>
      <c r="AK135" s="43">
        <f t="shared" si="24"/>
        <v>0</v>
      </c>
      <c r="AL135" s="43">
        <f t="shared" si="25"/>
        <v>0</v>
      </c>
      <c r="AM135" s="43"/>
      <c r="AN135" s="45" t="str">
        <f t="shared" si="26"/>
        <v>Olennainen</v>
      </c>
    </row>
    <row r="136" spans="1:40 16365:16383" s="24" customFormat="1" ht="137.44999999999999">
      <c r="A136" s="5" t="s">
        <v>35</v>
      </c>
      <c r="B136" s="5" t="s">
        <v>921</v>
      </c>
      <c r="C136" s="22" t="s">
        <v>525</v>
      </c>
      <c r="D136" s="22"/>
      <c r="E136" s="17" t="s">
        <v>446</v>
      </c>
      <c r="F136" s="17"/>
      <c r="G136" s="17"/>
      <c r="H136" s="17"/>
      <c r="I136" s="17"/>
      <c r="J136" s="17" t="s">
        <v>511</v>
      </c>
      <c r="K136" s="17" t="s">
        <v>773</v>
      </c>
      <c r="L136" s="32" t="s">
        <v>1090</v>
      </c>
      <c r="M136" s="61" t="s">
        <v>1091</v>
      </c>
      <c r="N136" s="23" t="s">
        <v>1092</v>
      </c>
      <c r="O136" s="23" t="s">
        <v>1093</v>
      </c>
      <c r="P136" s="9" t="s">
        <v>1094</v>
      </c>
      <c r="Q136" s="9" t="s">
        <v>1095</v>
      </c>
      <c r="R136" s="9" t="s">
        <v>1096</v>
      </c>
      <c r="S136" s="9" t="s">
        <v>1097</v>
      </c>
      <c r="U136" s="42" t="str">
        <f t="shared" si="18"/>
        <v>TEK-15, L:TL III, E:, S:, TS:</v>
      </c>
      <c r="V136" s="42" t="str">
        <f t="shared" si="19"/>
        <v>Julkri: FYY-5.6; Katakri: I-14</v>
      </c>
      <c r="W136" s="43">
        <f>IFERROR(VLOOKUP(A136,Esiehdot!A$11:D$15,4,0), 0)</f>
        <v>1</v>
      </c>
      <c r="X136" s="44">
        <f>IF(Esiehdot!D$4&gt;=IFERROR(VLOOKUP(E136,Valintalistat!D$2:H$7,5,0), 99),1,0)</f>
        <v>0</v>
      </c>
      <c r="Y136" s="44">
        <f>IF(Esiehdot!D$5&gt;=IFERROR(VLOOKUP(F136,Valintalistat!E$2:H$5,4,0), 99),1,0)</f>
        <v>0</v>
      </c>
      <c r="Z136" s="44">
        <f>IF(Esiehdot!D$6&gt;=IFERROR(VLOOKUP(G136,Valintalistat!F$2:H$5,3,0),99),1,0)</f>
        <v>0</v>
      </c>
      <c r="AA136" s="44">
        <f>IF(Esiehdot!D$8&gt;=IFERROR(VLOOKUP(H136,Valintalistat!G$2:H$5,2,0),99),1,0)</f>
        <v>0</v>
      </c>
      <c r="AB136" s="43">
        <f t="shared" si="20"/>
        <v>0</v>
      </c>
      <c r="AC136" s="44">
        <f>IF(Esiehdot!E$4=IFERROR(VLOOKUP(E136,Valintalistat!D$2:H$7,5,0),99),1,0)</f>
        <v>0</v>
      </c>
      <c r="AD136" s="44">
        <f>IF(Esiehdot!E$5=IFERROR(VLOOKUP(F136,Valintalistat!E$2:H$5,4,0),99),1,0)</f>
        <v>0</v>
      </c>
      <c r="AE136" s="44">
        <f>IF(Esiehdot!E$6=IFERROR(VLOOKUP(G136,Valintalistat!F$2:H$5,3,0),99),1,0)</f>
        <v>0</v>
      </c>
      <c r="AF136" s="44">
        <f>IF(Esiehdot!E$8=IFERROR(VLOOKUP(H136,Valintalistat!G$2:H$3,2,0),98),1,0)</f>
        <v>0</v>
      </c>
      <c r="AG136" s="43">
        <f t="shared" si="21"/>
        <v>0</v>
      </c>
      <c r="AH136" s="43">
        <f>IFERROR(HLOOKUP(Esiehdot!$B$17,Käyttötapauskriteerit!G$1:P136,136,0),1)</f>
        <v>1</v>
      </c>
      <c r="AI136" s="43">
        <f t="shared" si="22"/>
        <v>0</v>
      </c>
      <c r="AJ136" s="43">
        <f t="shared" si="23"/>
        <v>0</v>
      </c>
      <c r="AK136" s="43">
        <f t="shared" si="24"/>
        <v>0</v>
      </c>
      <c r="AL136" s="43">
        <f t="shared" si="25"/>
        <v>0</v>
      </c>
      <c r="AM136" s="43"/>
      <c r="AN136" s="45" t="str">
        <f t="shared" si="26"/>
        <v>Ei ehdoteta hankintaan</v>
      </c>
    </row>
    <row r="137" spans="1:40 16365:16383" s="24" customFormat="1" ht="24.95">
      <c r="A137" s="5" t="s">
        <v>35</v>
      </c>
      <c r="B137" s="5" t="s">
        <v>921</v>
      </c>
      <c r="C137" s="22" t="s">
        <v>1098</v>
      </c>
      <c r="D137" s="22" t="s">
        <v>525</v>
      </c>
      <c r="E137" s="17" t="s">
        <v>571</v>
      </c>
      <c r="F137" s="17"/>
      <c r="G137" s="17"/>
      <c r="H137" s="17"/>
      <c r="I137" s="17"/>
      <c r="J137" s="17" t="s">
        <v>511</v>
      </c>
      <c r="K137" s="17" t="s">
        <v>773</v>
      </c>
      <c r="L137" s="32" t="s">
        <v>1099</v>
      </c>
      <c r="M137" s="61" t="s">
        <v>721</v>
      </c>
      <c r="N137" s="23"/>
      <c r="O137" s="23" t="s">
        <v>1100</v>
      </c>
      <c r="P137" s="9" t="s">
        <v>524</v>
      </c>
      <c r="Q137" s="9"/>
      <c r="R137" s="9"/>
      <c r="S137" s="9" t="s">
        <v>1097</v>
      </c>
      <c r="U137" s="42" t="str">
        <f t="shared" si="18"/>
        <v>TEK-15.1, L:TL II, E:, S:, TS:</v>
      </c>
      <c r="V137" s="47" t="str">
        <f t="shared" si="19"/>
        <v>Katakri: I-14</v>
      </c>
      <c r="W137" s="47">
        <f>IFERROR(VLOOKUP(A137,Esiehdot!A$11:D$15,4,0), 0)</f>
        <v>1</v>
      </c>
      <c r="X137" s="47">
        <f>IF(Esiehdot!D$4&gt;=IFERROR(VLOOKUP(E137,Valintalistat!D$2:H$7,5,0), 99),1,0)</f>
        <v>0</v>
      </c>
      <c r="Y137" s="47">
        <f>IF(Esiehdot!D$5&gt;=IFERROR(VLOOKUP(F137,Valintalistat!E$2:H$5,4,0), 99),1,0)</f>
        <v>0</v>
      </c>
      <c r="Z137" s="47">
        <f>IF(Esiehdot!D$6&gt;=IFERROR(VLOOKUP(G137,Valintalistat!F$2:H$5,3,0),99),1,0)</f>
        <v>0</v>
      </c>
      <c r="AA137" s="47">
        <f>IF(Esiehdot!D$8&gt;=IFERROR(VLOOKUP(H137,Valintalistat!G$2:H$5,2,0),99),1,0)</f>
        <v>0</v>
      </c>
      <c r="AB137" s="47">
        <f t="shared" si="20"/>
        <v>0</v>
      </c>
      <c r="AC137" s="47">
        <f>IF(Esiehdot!E$4=IFERROR(VLOOKUP(E137,Valintalistat!D$2:H$7,5,0),99),1,0)</f>
        <v>0</v>
      </c>
      <c r="AD137" s="47">
        <f>IF(Esiehdot!E$5=IFERROR(VLOOKUP(F137,Valintalistat!E$2:H$5,4,0),99),1,0)</f>
        <v>0</v>
      </c>
      <c r="AE137" s="47">
        <f>IF(Esiehdot!E$6=IFERROR(VLOOKUP(G137,Valintalistat!F$2:H$5,3,0),99),1,0)</f>
        <v>0</v>
      </c>
      <c r="AF137" s="47">
        <f>IF(Esiehdot!E$8=IFERROR(VLOOKUP(H137,Valintalistat!G$2:H$3,2,0),98),1,0)</f>
        <v>0</v>
      </c>
      <c r="AG137" s="47">
        <f t="shared" si="21"/>
        <v>0</v>
      </c>
      <c r="AH137" s="47">
        <f>IFERROR(HLOOKUP(Esiehdot!$B$17,Käyttötapauskriteerit!G$1:P137,137,0),1)</f>
        <v>1</v>
      </c>
      <c r="AI137" s="47">
        <f t="shared" si="22"/>
        <v>0</v>
      </c>
      <c r="AJ137" s="47">
        <f t="shared" si="23"/>
        <v>0</v>
      </c>
      <c r="AK137" s="47">
        <f t="shared" si="24"/>
        <v>0</v>
      </c>
      <c r="AL137" s="47">
        <f t="shared" si="25"/>
        <v>0</v>
      </c>
      <c r="AM137" s="47"/>
      <c r="AN137" s="45" t="str">
        <f t="shared" si="26"/>
        <v>Ei ehdoteta hankintaan</v>
      </c>
      <c r="XEK137" s="5"/>
      <c r="XEL137" s="5"/>
      <c r="XEM137" s="22"/>
      <c r="XEN137" s="22"/>
      <c r="XEO137" s="17"/>
      <c r="XEP137" s="17"/>
      <c r="XEQ137" s="17"/>
      <c r="XER137" s="17"/>
      <c r="XES137" s="17"/>
      <c r="XET137" s="17"/>
      <c r="XEU137" s="17"/>
      <c r="XEV137" s="32"/>
      <c r="XEW137" s="23"/>
      <c r="XEX137" s="23"/>
      <c r="XEY137" s="23"/>
      <c r="XEZ137" s="9"/>
      <c r="XFA137" s="9"/>
      <c r="XFB137" s="9"/>
      <c r="XFC137" s="9"/>
    </row>
    <row r="138" spans="1:40 16365:16383" s="24" customFormat="1" ht="24.95">
      <c r="A138" s="5" t="s">
        <v>35</v>
      </c>
      <c r="B138" s="5" t="s">
        <v>921</v>
      </c>
      <c r="C138" s="22" t="s">
        <v>1101</v>
      </c>
      <c r="D138" s="22" t="s">
        <v>525</v>
      </c>
      <c r="E138" s="17" t="s">
        <v>543</v>
      </c>
      <c r="F138" s="17"/>
      <c r="G138" s="17"/>
      <c r="H138" s="17"/>
      <c r="I138" s="17"/>
      <c r="J138" s="17" t="s">
        <v>511</v>
      </c>
      <c r="K138" s="17" t="s">
        <v>773</v>
      </c>
      <c r="L138" s="32" t="s">
        <v>1102</v>
      </c>
      <c r="M138" s="61" t="s">
        <v>721</v>
      </c>
      <c r="N138" s="23"/>
      <c r="O138" s="23" t="s">
        <v>1103</v>
      </c>
      <c r="P138" s="9" t="s">
        <v>524</v>
      </c>
      <c r="Q138" s="9"/>
      <c r="R138" s="9"/>
      <c r="S138" s="9" t="s">
        <v>1097</v>
      </c>
      <c r="U138" s="42" t="str">
        <f t="shared" si="18"/>
        <v>TEK-15.2, L:TL I, E:, S:, TS:</v>
      </c>
      <c r="V138" s="42" t="str">
        <f t="shared" si="19"/>
        <v>Katakri: I-14</v>
      </c>
      <c r="W138" s="43">
        <f>IFERROR(VLOOKUP(A138,Esiehdot!A$11:D$15,4,0), 0)</f>
        <v>1</v>
      </c>
      <c r="X138" s="44">
        <f>IF(Esiehdot!D$4&gt;=IFERROR(VLOOKUP(E138,Valintalistat!D$2:H$7,5,0), 99),1,0)</f>
        <v>0</v>
      </c>
      <c r="Y138" s="44">
        <f>IF(Esiehdot!D$5&gt;=IFERROR(VLOOKUP(F138,Valintalistat!E$2:H$5,4,0), 99),1,0)</f>
        <v>0</v>
      </c>
      <c r="Z138" s="44">
        <f>IF(Esiehdot!D$6&gt;=IFERROR(VLOOKUP(G138,Valintalistat!F$2:H$5,3,0),99),1,0)</f>
        <v>0</v>
      </c>
      <c r="AA138" s="44">
        <f>IF(Esiehdot!D$8&gt;=IFERROR(VLOOKUP(H138,Valintalistat!G$2:H$5,2,0),99),1,0)</f>
        <v>0</v>
      </c>
      <c r="AB138" s="43">
        <f t="shared" si="20"/>
        <v>0</v>
      </c>
      <c r="AC138" s="44">
        <f>IF(Esiehdot!E$4=IFERROR(VLOOKUP(E138,Valintalistat!D$2:H$7,5,0),99),1,0)</f>
        <v>0</v>
      </c>
      <c r="AD138" s="44">
        <f>IF(Esiehdot!E$5=IFERROR(VLOOKUP(F138,Valintalistat!E$2:H$5,4,0),99),1,0)</f>
        <v>0</v>
      </c>
      <c r="AE138" s="44">
        <f>IF(Esiehdot!E$6=IFERROR(VLOOKUP(G138,Valintalistat!F$2:H$5,3,0),99),1,0)</f>
        <v>0</v>
      </c>
      <c r="AF138" s="44">
        <f>IF(Esiehdot!E$8=IFERROR(VLOOKUP(H138,Valintalistat!G$2:H$3,2,0),98),1,0)</f>
        <v>0</v>
      </c>
      <c r="AG138" s="43">
        <f t="shared" si="21"/>
        <v>0</v>
      </c>
      <c r="AH138" s="43">
        <f>IFERROR(HLOOKUP(Esiehdot!$B$17,Käyttötapauskriteerit!G$1:P138,138,0),1)</f>
        <v>1</v>
      </c>
      <c r="AI138" s="43">
        <f t="shared" si="22"/>
        <v>0</v>
      </c>
      <c r="AJ138" s="43">
        <f t="shared" si="23"/>
        <v>0</v>
      </c>
      <c r="AK138" s="43">
        <f t="shared" si="24"/>
        <v>0</v>
      </c>
      <c r="AL138" s="43">
        <f t="shared" si="25"/>
        <v>0</v>
      </c>
      <c r="AM138" s="43"/>
      <c r="AN138" s="45" t="str">
        <f t="shared" si="26"/>
        <v>Ei ehdoteta hankintaan</v>
      </c>
    </row>
    <row r="139" spans="1:40 16365:16383" s="24" customFormat="1" ht="125.1">
      <c r="A139" s="5" t="s">
        <v>35</v>
      </c>
      <c r="B139" s="5" t="s">
        <v>499</v>
      </c>
      <c r="C139" s="22" t="s">
        <v>1104</v>
      </c>
      <c r="D139" s="22"/>
      <c r="E139" s="17" t="s">
        <v>276</v>
      </c>
      <c r="F139" s="17" t="s">
        <v>277</v>
      </c>
      <c r="G139" s="17"/>
      <c r="H139" s="17" t="s">
        <v>278</v>
      </c>
      <c r="I139" s="17"/>
      <c r="J139" s="17" t="s">
        <v>511</v>
      </c>
      <c r="K139" s="17" t="s">
        <v>773</v>
      </c>
      <c r="L139" s="32" t="s">
        <v>1105</v>
      </c>
      <c r="M139" s="61" t="s">
        <v>1106</v>
      </c>
      <c r="N139" s="23" t="s">
        <v>1107</v>
      </c>
      <c r="O139" s="23" t="s">
        <v>1108</v>
      </c>
      <c r="P139" s="9" t="s">
        <v>1109</v>
      </c>
      <c r="Q139" s="9" t="s">
        <v>1110</v>
      </c>
      <c r="R139" s="9" t="s">
        <v>772</v>
      </c>
      <c r="S139" s="9" t="s">
        <v>1111</v>
      </c>
      <c r="U139" s="42" t="str">
        <f t="shared" si="18"/>
        <v>TEK-16, L:Salassa pidettävä, E:Tärkeä, S:, TS:Erityinen henkilötietoryhmä</v>
      </c>
      <c r="V139" s="42" t="str">
        <f t="shared" si="19"/>
        <v>Julkri: TEK-01; Katakri: I-01, I-12, I-15, I-18</v>
      </c>
      <c r="W139" s="43">
        <f>IFERROR(VLOOKUP(A139,Esiehdot!A$11:D$15,4,0), 0)</f>
        <v>1</v>
      </c>
      <c r="X139" s="44">
        <f>IF(Esiehdot!D$4&gt;=IFERROR(VLOOKUP(E139,Valintalistat!D$2:H$7,5,0), 99),1,0)</f>
        <v>0</v>
      </c>
      <c r="Y139" s="44">
        <f>IF(Esiehdot!D$5&gt;=IFERROR(VLOOKUP(F139,Valintalistat!E$2:H$5,4,0), 99),1,0)</f>
        <v>0</v>
      </c>
      <c r="Z139" s="44">
        <f>IF(Esiehdot!D$6&gt;=IFERROR(VLOOKUP(G139,Valintalistat!F$2:H$5,3,0),99),1,0)</f>
        <v>0</v>
      </c>
      <c r="AA139" s="44">
        <f>IF(Esiehdot!D$8&gt;=IFERROR(VLOOKUP(H139,Valintalistat!G$2:H$5,2,0),99),1,0)</f>
        <v>0</v>
      </c>
      <c r="AB139" s="43">
        <f t="shared" si="20"/>
        <v>0</v>
      </c>
      <c r="AC139" s="44">
        <f>IF(Esiehdot!E$4=IFERROR(VLOOKUP(E139,Valintalistat!D$2:H$7,5,0),99),1,0)</f>
        <v>1</v>
      </c>
      <c r="AD139" s="44">
        <f>IF(Esiehdot!E$5=IFERROR(VLOOKUP(F139,Valintalistat!E$2:H$5,4,0),99),1,0)</f>
        <v>0</v>
      </c>
      <c r="AE139" s="44">
        <f>IF(Esiehdot!E$6=IFERROR(VLOOKUP(G139,Valintalistat!F$2:H$5,3,0),99),1,0)</f>
        <v>0</v>
      </c>
      <c r="AF139" s="44">
        <f>IF(Esiehdot!E$8=IFERROR(VLOOKUP(H139,Valintalistat!G$2:H$3,2,0),98),1,0)</f>
        <v>0</v>
      </c>
      <c r="AG139" s="43">
        <f t="shared" si="21"/>
        <v>1</v>
      </c>
      <c r="AH139" s="43">
        <f>IFERROR(HLOOKUP(Esiehdot!$B$17,Käyttötapauskriteerit!G$1:P139,139,0),1)</f>
        <v>1</v>
      </c>
      <c r="AI139" s="43">
        <f t="shared" si="22"/>
        <v>0</v>
      </c>
      <c r="AJ139" s="43">
        <f t="shared" si="23"/>
        <v>0</v>
      </c>
      <c r="AK139" s="43">
        <f t="shared" si="24"/>
        <v>1</v>
      </c>
      <c r="AL139" s="43">
        <f t="shared" si="25"/>
        <v>0</v>
      </c>
      <c r="AM139" s="43"/>
      <c r="AN139" s="45" t="str">
        <f t="shared" si="26"/>
        <v>Valinnainen</v>
      </c>
    </row>
    <row r="140" spans="1:40 16365:16383" ht="62.45">
      <c r="A140" s="5" t="s">
        <v>35</v>
      </c>
      <c r="B140" s="5" t="s">
        <v>499</v>
      </c>
      <c r="C140" s="22" t="s">
        <v>1112</v>
      </c>
      <c r="D140" s="22" t="s">
        <v>1104</v>
      </c>
      <c r="E140" s="17" t="s">
        <v>276</v>
      </c>
      <c r="F140" s="17" t="s">
        <v>277</v>
      </c>
      <c r="G140" s="17"/>
      <c r="H140" s="17" t="s">
        <v>278</v>
      </c>
      <c r="I140" s="17"/>
      <c r="J140" s="17" t="s">
        <v>511</v>
      </c>
      <c r="K140" s="17" t="s">
        <v>773</v>
      </c>
      <c r="L140" s="32" t="s">
        <v>1113</v>
      </c>
      <c r="M140" s="61" t="s">
        <v>1114</v>
      </c>
      <c r="N140" s="23"/>
      <c r="O140" s="23"/>
      <c r="P140" s="9" t="s">
        <v>1115</v>
      </c>
      <c r="Q140" s="9" t="s">
        <v>1116</v>
      </c>
      <c r="R140" s="9" t="s">
        <v>787</v>
      </c>
      <c r="S140" s="9" t="s">
        <v>1117</v>
      </c>
      <c r="U140" s="42" t="str">
        <f t="shared" si="18"/>
        <v>TEK-16.1, L:Salassa pidettävä, E:Tärkeä, S:, TS:Erityinen henkilötietoryhmä</v>
      </c>
      <c r="V140" s="42" t="str">
        <f t="shared" si="19"/>
        <v>Julkri: FYY-7.1; Katakri: I-15</v>
      </c>
      <c r="W140" s="43">
        <f>IFERROR(VLOOKUP(A140,Esiehdot!A$11:D$15,4,0), 0)</f>
        <v>1</v>
      </c>
      <c r="X140" s="44">
        <f>IF(Esiehdot!D$4&gt;=IFERROR(VLOOKUP(E140,Valintalistat!D$2:H$7,5,0), 99),1,0)</f>
        <v>0</v>
      </c>
      <c r="Y140" s="44">
        <f>IF(Esiehdot!D$5&gt;=IFERROR(VLOOKUP(F140,Valintalistat!E$2:H$5,4,0), 99),1,0)</f>
        <v>0</v>
      </c>
      <c r="Z140" s="44">
        <f>IF(Esiehdot!D$6&gt;=IFERROR(VLOOKUP(G140,Valintalistat!F$2:H$5,3,0),99),1,0)</f>
        <v>0</v>
      </c>
      <c r="AA140" s="44">
        <f>IF(Esiehdot!D$8&gt;=IFERROR(VLOOKUP(H140,Valintalistat!G$2:H$5,2,0),99),1,0)</f>
        <v>0</v>
      </c>
      <c r="AB140" s="43">
        <f t="shared" si="20"/>
        <v>0</v>
      </c>
      <c r="AC140" s="44">
        <f>IF(Esiehdot!E$4=IFERROR(VLOOKUP(E140,Valintalistat!D$2:H$7,5,0),99),1,0)</f>
        <v>1</v>
      </c>
      <c r="AD140" s="44">
        <f>IF(Esiehdot!E$5=IFERROR(VLOOKUP(F140,Valintalistat!E$2:H$5,4,0),99),1,0)</f>
        <v>0</v>
      </c>
      <c r="AE140" s="44">
        <f>IF(Esiehdot!E$6=IFERROR(VLOOKUP(G140,Valintalistat!F$2:H$5,3,0),99),1,0)</f>
        <v>0</v>
      </c>
      <c r="AF140" s="44">
        <f>IF(Esiehdot!E$8=IFERROR(VLOOKUP(H140,Valintalistat!G$2:H$3,2,0),98),1,0)</f>
        <v>0</v>
      </c>
      <c r="AG140" s="43">
        <f t="shared" si="21"/>
        <v>1</v>
      </c>
      <c r="AH140" s="43">
        <f>IFERROR(HLOOKUP(Esiehdot!$B$17,Käyttötapauskriteerit!G$1:P140,140,0),1)</f>
        <v>1</v>
      </c>
      <c r="AI140" s="43">
        <f t="shared" si="22"/>
        <v>0</v>
      </c>
      <c r="AJ140" s="43">
        <f t="shared" si="23"/>
        <v>0</v>
      </c>
      <c r="AK140" s="43">
        <f t="shared" si="24"/>
        <v>1</v>
      </c>
      <c r="AL140" s="43">
        <f t="shared" si="25"/>
        <v>0</v>
      </c>
      <c r="AM140" s="43"/>
      <c r="AN140" s="45" t="str">
        <f t="shared" si="26"/>
        <v>Valinnainen</v>
      </c>
    </row>
    <row r="141" spans="1:40 16365:16383" ht="99.95">
      <c r="A141" s="5" t="s">
        <v>35</v>
      </c>
      <c r="B141" s="5" t="s">
        <v>499</v>
      </c>
      <c r="C141" s="22" t="s">
        <v>1118</v>
      </c>
      <c r="D141" s="22" t="s">
        <v>1104</v>
      </c>
      <c r="E141" s="17" t="s">
        <v>554</v>
      </c>
      <c r="F141" s="17"/>
      <c r="G141" s="17"/>
      <c r="H141" s="17"/>
      <c r="I141" s="17"/>
      <c r="J141" s="17" t="s">
        <v>511</v>
      </c>
      <c r="K141" s="17" t="s">
        <v>773</v>
      </c>
      <c r="L141" s="32" t="s">
        <v>1119</v>
      </c>
      <c r="M141" s="61" t="s">
        <v>1120</v>
      </c>
      <c r="N141" s="23" t="s">
        <v>1121</v>
      </c>
      <c r="O141" s="23" t="s">
        <v>1122</v>
      </c>
      <c r="P141" s="9" t="s">
        <v>898</v>
      </c>
      <c r="Q141" s="9" t="s">
        <v>1116</v>
      </c>
      <c r="R141" s="9" t="s">
        <v>787</v>
      </c>
      <c r="S141" s="9" t="s">
        <v>1123</v>
      </c>
      <c r="U141" s="42" t="str">
        <f t="shared" si="18"/>
        <v>TEK-16.2, L:TL IV, E:, S:, TS:</v>
      </c>
      <c r="V141" s="42" t="str">
        <f t="shared" si="19"/>
        <v>Julkri: FYY-7.1; Katakri: I-01, I-12, I-15, I-18, F-08.1</v>
      </c>
      <c r="W141" s="43">
        <f>IFERROR(VLOOKUP(A141,Esiehdot!A$11:D$15,4,0), 0)</f>
        <v>1</v>
      </c>
      <c r="X141" s="44">
        <f>IF(Esiehdot!D$4&gt;=IFERROR(VLOOKUP(E141,Valintalistat!D$2:H$7,5,0), 99),1,0)</f>
        <v>0</v>
      </c>
      <c r="Y141" s="44">
        <f>IF(Esiehdot!D$5&gt;=IFERROR(VLOOKUP(F141,Valintalistat!E$2:H$5,4,0), 99),1,0)</f>
        <v>0</v>
      </c>
      <c r="Z141" s="44">
        <f>IF(Esiehdot!D$6&gt;=IFERROR(VLOOKUP(G141,Valintalistat!F$2:H$5,3,0),99),1,0)</f>
        <v>0</v>
      </c>
      <c r="AA141" s="44">
        <f>IF(Esiehdot!D$8&gt;=IFERROR(VLOOKUP(H141,Valintalistat!G$2:H$5,2,0),99),1,0)</f>
        <v>0</v>
      </c>
      <c r="AB141" s="43">
        <f t="shared" si="20"/>
        <v>0</v>
      </c>
      <c r="AC141" s="44">
        <f>IF(Esiehdot!E$4=IFERROR(VLOOKUP(E141,Valintalistat!D$2:H$7,5,0),99),1,0)</f>
        <v>0</v>
      </c>
      <c r="AD141" s="44">
        <f>IF(Esiehdot!E$5=IFERROR(VLOOKUP(F141,Valintalistat!E$2:H$5,4,0),99),1,0)</f>
        <v>0</v>
      </c>
      <c r="AE141" s="44">
        <f>IF(Esiehdot!E$6=IFERROR(VLOOKUP(G141,Valintalistat!F$2:H$5,3,0),99),1,0)</f>
        <v>0</v>
      </c>
      <c r="AF141" s="44">
        <f>IF(Esiehdot!E$8=IFERROR(VLOOKUP(H141,Valintalistat!G$2:H$3,2,0),98),1,0)</f>
        <v>0</v>
      </c>
      <c r="AG141" s="43">
        <f t="shared" si="21"/>
        <v>0</v>
      </c>
      <c r="AH141" s="43">
        <f>IFERROR(HLOOKUP(Esiehdot!$B$17,Käyttötapauskriteerit!G$1:P141,141,0),1)</f>
        <v>1</v>
      </c>
      <c r="AI141" s="43">
        <f t="shared" si="22"/>
        <v>0</v>
      </c>
      <c r="AJ141" s="43">
        <f t="shared" si="23"/>
        <v>0</v>
      </c>
      <c r="AK141" s="43">
        <f t="shared" si="24"/>
        <v>0</v>
      </c>
      <c r="AL141" s="43">
        <f t="shared" si="25"/>
        <v>0</v>
      </c>
      <c r="AM141" s="43"/>
      <c r="AN141" s="45" t="str">
        <f t="shared" si="26"/>
        <v>Ei ehdoteta hankintaan</v>
      </c>
    </row>
    <row r="142" spans="1:40 16365:16383" ht="87.6">
      <c r="A142" s="5" t="s">
        <v>35</v>
      </c>
      <c r="B142" s="5" t="s">
        <v>499</v>
      </c>
      <c r="C142" s="22" t="s">
        <v>1124</v>
      </c>
      <c r="D142" s="22" t="s">
        <v>1104</v>
      </c>
      <c r="E142" s="17" t="s">
        <v>554</v>
      </c>
      <c r="F142" s="17"/>
      <c r="G142" s="17"/>
      <c r="H142" s="17"/>
      <c r="I142" s="17"/>
      <c r="J142" s="17" t="s">
        <v>511</v>
      </c>
      <c r="K142" s="17" t="s">
        <v>773</v>
      </c>
      <c r="L142" s="32" t="s">
        <v>1125</v>
      </c>
      <c r="M142" s="61" t="s">
        <v>1126</v>
      </c>
      <c r="N142" s="23"/>
      <c r="O142" s="23" t="s">
        <v>1127</v>
      </c>
      <c r="P142" s="9" t="s">
        <v>898</v>
      </c>
      <c r="Q142" s="9"/>
      <c r="R142" s="9" t="s">
        <v>787</v>
      </c>
      <c r="S142" s="9" t="s">
        <v>1117</v>
      </c>
      <c r="U142" s="42" t="str">
        <f t="shared" si="18"/>
        <v>TEK-16.3, L:TL IV, E:, S:, TS:</v>
      </c>
      <c r="V142" s="42" t="str">
        <f t="shared" si="19"/>
        <v>Julkri: FYY-7.1; Katakri: I-15</v>
      </c>
      <c r="W142" s="43">
        <f>IFERROR(VLOOKUP(A142,Esiehdot!A$11:D$15,4,0), 0)</f>
        <v>1</v>
      </c>
      <c r="X142" s="44">
        <f>IF(Esiehdot!D$4&gt;=IFERROR(VLOOKUP(E142,Valintalistat!D$2:H$7,5,0), 99),1,0)</f>
        <v>0</v>
      </c>
      <c r="Y142" s="44">
        <f>IF(Esiehdot!D$5&gt;=IFERROR(VLOOKUP(F142,Valintalistat!E$2:H$5,4,0), 99),1,0)</f>
        <v>0</v>
      </c>
      <c r="Z142" s="44">
        <f>IF(Esiehdot!D$6&gt;=IFERROR(VLOOKUP(G142,Valintalistat!F$2:H$5,3,0),99),1,0)</f>
        <v>0</v>
      </c>
      <c r="AA142" s="44">
        <f>IF(Esiehdot!D$8&gt;=IFERROR(VLOOKUP(H142,Valintalistat!G$2:H$5,2,0),99),1,0)</f>
        <v>0</v>
      </c>
      <c r="AB142" s="43">
        <f t="shared" si="20"/>
        <v>0</v>
      </c>
      <c r="AC142" s="44">
        <f>IF(Esiehdot!E$4=IFERROR(VLOOKUP(E142,Valintalistat!D$2:H$7,5,0),99),1,0)</f>
        <v>0</v>
      </c>
      <c r="AD142" s="44">
        <f>IF(Esiehdot!E$5=IFERROR(VLOOKUP(F142,Valintalistat!E$2:H$5,4,0),99),1,0)</f>
        <v>0</v>
      </c>
      <c r="AE142" s="44">
        <f>IF(Esiehdot!E$6=IFERROR(VLOOKUP(G142,Valintalistat!F$2:H$5,3,0),99),1,0)</f>
        <v>0</v>
      </c>
      <c r="AF142" s="44">
        <f>IF(Esiehdot!E$8=IFERROR(VLOOKUP(H142,Valintalistat!G$2:H$3,2,0),98),1,0)</f>
        <v>0</v>
      </c>
      <c r="AG142" s="43">
        <f t="shared" si="21"/>
        <v>0</v>
      </c>
      <c r="AH142" s="43">
        <f>IFERROR(HLOOKUP(Esiehdot!$B$17,Käyttötapauskriteerit!G$1:P142,142,0),1)</f>
        <v>1</v>
      </c>
      <c r="AI142" s="43">
        <f t="shared" si="22"/>
        <v>0</v>
      </c>
      <c r="AJ142" s="43">
        <f t="shared" si="23"/>
        <v>0</v>
      </c>
      <c r="AK142" s="43">
        <f t="shared" si="24"/>
        <v>0</v>
      </c>
      <c r="AL142" s="43">
        <f t="shared" si="25"/>
        <v>0</v>
      </c>
      <c r="AM142" s="43"/>
      <c r="AN142" s="45" t="str">
        <f t="shared" si="26"/>
        <v>Ei ehdoteta hankintaan</v>
      </c>
    </row>
    <row r="143" spans="1:40 16365:16383" ht="112.5">
      <c r="A143" s="5" t="s">
        <v>35</v>
      </c>
      <c r="B143" s="5" t="s">
        <v>499</v>
      </c>
      <c r="C143" s="22" t="s">
        <v>1128</v>
      </c>
      <c r="D143" s="22" t="s">
        <v>1104</v>
      </c>
      <c r="E143" s="17" t="s">
        <v>446</v>
      </c>
      <c r="F143" s="17"/>
      <c r="G143" s="17"/>
      <c r="H143" s="17"/>
      <c r="I143" s="17"/>
      <c r="J143" s="17" t="s">
        <v>511</v>
      </c>
      <c r="K143" s="17" t="s">
        <v>773</v>
      </c>
      <c r="L143" s="32" t="s">
        <v>1129</v>
      </c>
      <c r="M143" s="61" t="s">
        <v>1130</v>
      </c>
      <c r="N143" s="23"/>
      <c r="O143" s="23"/>
      <c r="P143" s="9" t="s">
        <v>558</v>
      </c>
      <c r="Q143" s="9"/>
      <c r="R143" s="9" t="s">
        <v>787</v>
      </c>
      <c r="S143" s="9" t="s">
        <v>1131</v>
      </c>
      <c r="U143" s="42" t="str">
        <f t="shared" si="18"/>
        <v>TEK-16.4, L:TL III, E:, S:, TS:</v>
      </c>
      <c r="V143" s="42" t="str">
        <f t="shared" si="19"/>
        <v>Julkri: FYY-7.1; Katakri: F-04, I-12, I-17, I-18</v>
      </c>
      <c r="W143" s="43">
        <f>IFERROR(VLOOKUP(A143,Esiehdot!A$11:D$15,4,0), 0)</f>
        <v>1</v>
      </c>
      <c r="X143" s="44">
        <f>IF(Esiehdot!D$4&gt;=IFERROR(VLOOKUP(E143,Valintalistat!D$2:H$7,5,0), 99),1,0)</f>
        <v>0</v>
      </c>
      <c r="Y143" s="44">
        <f>IF(Esiehdot!D$5&gt;=IFERROR(VLOOKUP(F143,Valintalistat!E$2:H$5,4,0), 99),1,0)</f>
        <v>0</v>
      </c>
      <c r="Z143" s="44">
        <f>IF(Esiehdot!D$6&gt;=IFERROR(VLOOKUP(G143,Valintalistat!F$2:H$5,3,0),99),1,0)</f>
        <v>0</v>
      </c>
      <c r="AA143" s="44">
        <f>IF(Esiehdot!D$8&gt;=IFERROR(VLOOKUP(H143,Valintalistat!G$2:H$5,2,0),99),1,0)</f>
        <v>0</v>
      </c>
      <c r="AB143" s="43">
        <f t="shared" si="20"/>
        <v>0</v>
      </c>
      <c r="AC143" s="44">
        <f>IF(Esiehdot!E$4=IFERROR(VLOOKUP(E143,Valintalistat!D$2:H$7,5,0),99),1,0)</f>
        <v>0</v>
      </c>
      <c r="AD143" s="44">
        <f>IF(Esiehdot!E$5=IFERROR(VLOOKUP(F143,Valintalistat!E$2:H$5,4,0),99),1,0)</f>
        <v>0</v>
      </c>
      <c r="AE143" s="44">
        <f>IF(Esiehdot!E$6=IFERROR(VLOOKUP(G143,Valintalistat!F$2:H$5,3,0),99),1,0)</f>
        <v>0</v>
      </c>
      <c r="AF143" s="44">
        <f>IF(Esiehdot!E$8=IFERROR(VLOOKUP(H143,Valintalistat!G$2:H$3,2,0),98),1,0)</f>
        <v>0</v>
      </c>
      <c r="AG143" s="43">
        <f t="shared" si="21"/>
        <v>0</v>
      </c>
      <c r="AH143" s="43">
        <f>IFERROR(HLOOKUP(Esiehdot!$B$17,Käyttötapauskriteerit!G$1:P143,143,0),1)</f>
        <v>1</v>
      </c>
      <c r="AI143" s="43">
        <f t="shared" si="22"/>
        <v>0</v>
      </c>
      <c r="AJ143" s="43">
        <f t="shared" si="23"/>
        <v>0</v>
      </c>
      <c r="AK143" s="43">
        <f t="shared" si="24"/>
        <v>0</v>
      </c>
      <c r="AL143" s="43">
        <f t="shared" si="25"/>
        <v>0</v>
      </c>
      <c r="AM143" s="43"/>
      <c r="AN143" s="45" t="str">
        <f t="shared" si="26"/>
        <v>Ei ehdoteta hankintaan</v>
      </c>
    </row>
    <row r="144" spans="1:40 16365:16383" ht="24.95">
      <c r="A144" s="5" t="s">
        <v>35</v>
      </c>
      <c r="B144" s="5" t="s">
        <v>499</v>
      </c>
      <c r="C144" s="22" t="s">
        <v>1132</v>
      </c>
      <c r="D144" s="22" t="s">
        <v>1104</v>
      </c>
      <c r="E144" s="17" t="s">
        <v>543</v>
      </c>
      <c r="F144" s="17"/>
      <c r="G144" s="17"/>
      <c r="H144" s="17"/>
      <c r="I144" s="17"/>
      <c r="J144" s="17" t="s">
        <v>511</v>
      </c>
      <c r="K144" s="17" t="s">
        <v>773</v>
      </c>
      <c r="L144" s="32" t="s">
        <v>1133</v>
      </c>
      <c r="M144" s="61" t="s">
        <v>721</v>
      </c>
      <c r="N144" s="23" t="s">
        <v>1134</v>
      </c>
      <c r="O144" s="23" t="s">
        <v>1135</v>
      </c>
      <c r="P144" s="9" t="s">
        <v>918</v>
      </c>
      <c r="Q144" s="9"/>
      <c r="R144" s="9"/>
      <c r="S144" s="9" t="s">
        <v>1117</v>
      </c>
      <c r="U144" s="42" t="str">
        <f t="shared" si="18"/>
        <v>TEK-16.5, L:TL I, E:, S:, TS:</v>
      </c>
      <c r="V144" s="42" t="str">
        <f t="shared" si="19"/>
        <v>Katakri: I-15</v>
      </c>
      <c r="W144" s="43">
        <f>IFERROR(VLOOKUP(A144,Esiehdot!A$11:D$15,4,0), 0)</f>
        <v>1</v>
      </c>
      <c r="X144" s="44">
        <f>IF(Esiehdot!D$4&gt;=IFERROR(VLOOKUP(E144,Valintalistat!D$2:H$7,5,0), 99),1,0)</f>
        <v>0</v>
      </c>
      <c r="Y144" s="44">
        <f>IF(Esiehdot!D$5&gt;=IFERROR(VLOOKUP(F144,Valintalistat!E$2:H$5,4,0), 99),1,0)</f>
        <v>0</v>
      </c>
      <c r="Z144" s="44">
        <f>IF(Esiehdot!D$6&gt;=IFERROR(VLOOKUP(G144,Valintalistat!F$2:H$5,3,0),99),1,0)</f>
        <v>0</v>
      </c>
      <c r="AA144" s="44">
        <f>IF(Esiehdot!D$8&gt;=IFERROR(VLOOKUP(H144,Valintalistat!G$2:H$5,2,0),99),1,0)</f>
        <v>0</v>
      </c>
      <c r="AB144" s="43">
        <f t="shared" si="20"/>
        <v>0</v>
      </c>
      <c r="AC144" s="44">
        <f>IF(Esiehdot!E$4=IFERROR(VLOOKUP(E144,Valintalistat!D$2:H$7,5,0),99),1,0)</f>
        <v>0</v>
      </c>
      <c r="AD144" s="44">
        <f>IF(Esiehdot!E$5=IFERROR(VLOOKUP(F144,Valintalistat!E$2:H$5,4,0),99),1,0)</f>
        <v>0</v>
      </c>
      <c r="AE144" s="44">
        <f>IF(Esiehdot!E$6=IFERROR(VLOOKUP(G144,Valintalistat!F$2:H$5,3,0),99),1,0)</f>
        <v>0</v>
      </c>
      <c r="AF144" s="44">
        <f>IF(Esiehdot!E$8=IFERROR(VLOOKUP(H144,Valintalistat!G$2:H$3,2,0),98),1,0)</f>
        <v>0</v>
      </c>
      <c r="AG144" s="43">
        <f t="shared" si="21"/>
        <v>0</v>
      </c>
      <c r="AH144" s="43">
        <f>IFERROR(HLOOKUP(Esiehdot!$B$17,Käyttötapauskriteerit!G$1:P144,144,0),1)</f>
        <v>1</v>
      </c>
      <c r="AI144" s="43">
        <f t="shared" si="22"/>
        <v>0</v>
      </c>
      <c r="AJ144" s="43">
        <f t="shared" si="23"/>
        <v>0</v>
      </c>
      <c r="AK144" s="43">
        <f t="shared" si="24"/>
        <v>0</v>
      </c>
      <c r="AL144" s="43">
        <f t="shared" si="25"/>
        <v>0</v>
      </c>
      <c r="AM144" s="43"/>
      <c r="AN144" s="45" t="str">
        <f t="shared" si="26"/>
        <v>Ei ehdoteta hankintaan</v>
      </c>
    </row>
    <row r="145" spans="1:40" ht="50.1">
      <c r="A145" s="5" t="s">
        <v>35</v>
      </c>
      <c r="B145" s="5" t="s">
        <v>499</v>
      </c>
      <c r="C145" s="22" t="s">
        <v>1067</v>
      </c>
      <c r="E145" s="17" t="s">
        <v>25</v>
      </c>
      <c r="F145" s="17" t="s">
        <v>27</v>
      </c>
      <c r="G145" s="17" t="s">
        <v>27</v>
      </c>
      <c r="H145" s="17" t="s">
        <v>260</v>
      </c>
      <c r="I145" s="17"/>
      <c r="J145" s="17" t="s">
        <v>511</v>
      </c>
      <c r="K145" s="17" t="s">
        <v>773</v>
      </c>
      <c r="L145" s="32" t="s">
        <v>1136</v>
      </c>
      <c r="M145" s="61" t="s">
        <v>1137</v>
      </c>
      <c r="N145" s="23" t="s">
        <v>1138</v>
      </c>
      <c r="O145" s="23" t="s">
        <v>1139</v>
      </c>
      <c r="P145" s="9" t="s">
        <v>1140</v>
      </c>
      <c r="Q145" s="9" t="s">
        <v>1141</v>
      </c>
      <c r="R145" s="9"/>
      <c r="S145" s="9" t="s">
        <v>1142</v>
      </c>
      <c r="U145" s="42" t="str">
        <f t="shared" si="18"/>
        <v>TEK-17, L:Julkinen, E:Vähäinen, S:Vähäinen, TS:Henkilötieto</v>
      </c>
      <c r="V145" s="42" t="str">
        <f t="shared" si="19"/>
        <v>Katakri: I-03, I-05, I-16, I-17, I-18, T-04, T-12</v>
      </c>
      <c r="W145" s="43">
        <f>IFERROR(VLOOKUP(A145,Esiehdot!A$11:D$15,4,0), 0)</f>
        <v>1</v>
      </c>
      <c r="X145" s="44">
        <f>IF(Esiehdot!D$4&gt;=IFERROR(VLOOKUP(E145,Valintalistat!D$2:H$7,5,0), 99),1,0)</f>
        <v>1</v>
      </c>
      <c r="Y145" s="44">
        <f>IF(Esiehdot!D$5&gt;=IFERROR(VLOOKUP(F145,Valintalistat!E$2:H$5,4,0), 99),1,0)</f>
        <v>1</v>
      </c>
      <c r="Z145" s="44">
        <f>IF(Esiehdot!D$6&gt;=IFERROR(VLOOKUP(G145,Valintalistat!F$2:H$5,3,0),99),1,0)</f>
        <v>1</v>
      </c>
      <c r="AA145" s="44">
        <f>IF(Esiehdot!D$8&gt;=IFERROR(VLOOKUP(H145,Valintalistat!G$2:H$5,2,0),99),1,0)</f>
        <v>0</v>
      </c>
      <c r="AB145" s="43">
        <f t="shared" si="20"/>
        <v>1</v>
      </c>
      <c r="AC145" s="44">
        <f>IF(Esiehdot!E$4=IFERROR(VLOOKUP(E145,Valintalistat!D$2:H$7,5,0),99),1,0)</f>
        <v>0</v>
      </c>
      <c r="AD145" s="44">
        <f>IF(Esiehdot!E$5=IFERROR(VLOOKUP(F145,Valintalistat!E$2:H$5,4,0),99),1,0)</f>
        <v>0</v>
      </c>
      <c r="AE145" s="44">
        <f>IF(Esiehdot!E$6=IFERROR(VLOOKUP(G145,Valintalistat!F$2:H$5,3,0),99),1,0)</f>
        <v>0</v>
      </c>
      <c r="AF145" s="44">
        <f>IF(Esiehdot!E$8=IFERROR(VLOOKUP(H145,Valintalistat!G$2:H$3,2,0),98),1,0)</f>
        <v>0</v>
      </c>
      <c r="AG145" s="43">
        <f t="shared" si="21"/>
        <v>0</v>
      </c>
      <c r="AH145" s="43">
        <f>IFERROR(HLOOKUP(Esiehdot!$B$17,Käyttötapauskriteerit!G$1:P145,145,0),1)</f>
        <v>1</v>
      </c>
      <c r="AI145" s="43">
        <f t="shared" si="22"/>
        <v>1</v>
      </c>
      <c r="AJ145" s="43">
        <f t="shared" si="23"/>
        <v>0</v>
      </c>
      <c r="AK145" s="43">
        <f t="shared" si="24"/>
        <v>0</v>
      </c>
      <c r="AL145" s="43">
        <f t="shared" si="25"/>
        <v>0</v>
      </c>
      <c r="AM145" s="43"/>
      <c r="AN145" s="45" t="str">
        <f t="shared" si="26"/>
        <v>Olennainen</v>
      </c>
    </row>
    <row r="146" spans="1:40" ht="62.45">
      <c r="A146" s="5" t="s">
        <v>35</v>
      </c>
      <c r="B146" s="5" t="s">
        <v>499</v>
      </c>
      <c r="C146" s="22" t="s">
        <v>1143</v>
      </c>
      <c r="D146" s="22" t="s">
        <v>1067</v>
      </c>
      <c r="E146" s="17" t="s">
        <v>25</v>
      </c>
      <c r="F146" s="17" t="s">
        <v>27</v>
      </c>
      <c r="G146" s="17" t="s">
        <v>27</v>
      </c>
      <c r="H146" s="17" t="s">
        <v>260</v>
      </c>
      <c r="I146" s="17"/>
      <c r="J146" s="17" t="s">
        <v>511</v>
      </c>
      <c r="K146" s="17" t="s">
        <v>773</v>
      </c>
      <c r="L146" s="32" t="s">
        <v>1144</v>
      </c>
      <c r="M146" s="61" t="s">
        <v>1145</v>
      </c>
      <c r="N146" s="23"/>
      <c r="O146" s="23"/>
      <c r="P146" s="9" t="s">
        <v>1146</v>
      </c>
      <c r="Q146" s="9"/>
      <c r="R146" s="9"/>
      <c r="S146" s="9" t="s">
        <v>1147</v>
      </c>
      <c r="U146" s="42" t="str">
        <f t="shared" si="18"/>
        <v>TEK-17.1, L:Julkinen, E:Vähäinen, S:Vähäinen, TS:Henkilötieto</v>
      </c>
      <c r="V146" s="42" t="str">
        <f t="shared" si="19"/>
        <v>Katakri: I-16</v>
      </c>
      <c r="W146" s="43">
        <f>IFERROR(VLOOKUP(A146,Esiehdot!A$11:D$15,4,0), 0)</f>
        <v>1</v>
      </c>
      <c r="X146" s="44">
        <f>IF(Esiehdot!D$4&gt;=IFERROR(VLOOKUP(E146,Valintalistat!D$2:H$7,5,0), 99),1,0)</f>
        <v>1</v>
      </c>
      <c r="Y146" s="44">
        <f>IF(Esiehdot!D$5&gt;=IFERROR(VLOOKUP(F146,Valintalistat!E$2:H$5,4,0), 99),1,0)</f>
        <v>1</v>
      </c>
      <c r="Z146" s="44">
        <f>IF(Esiehdot!D$6&gt;=IFERROR(VLOOKUP(G146,Valintalistat!F$2:H$5,3,0),99),1,0)</f>
        <v>1</v>
      </c>
      <c r="AA146" s="44">
        <f>IF(Esiehdot!D$8&gt;=IFERROR(VLOOKUP(H146,Valintalistat!G$2:H$5,2,0),99),1,0)</f>
        <v>0</v>
      </c>
      <c r="AB146" s="43">
        <f t="shared" si="20"/>
        <v>1</v>
      </c>
      <c r="AC146" s="44">
        <f>IF(Esiehdot!E$4=IFERROR(VLOOKUP(E146,Valintalistat!D$2:H$7,5,0),99),1,0)</f>
        <v>0</v>
      </c>
      <c r="AD146" s="44">
        <f>IF(Esiehdot!E$5=IFERROR(VLOOKUP(F146,Valintalistat!E$2:H$5,4,0),99),1,0)</f>
        <v>0</v>
      </c>
      <c r="AE146" s="44">
        <f>IF(Esiehdot!E$6=IFERROR(VLOOKUP(G146,Valintalistat!F$2:H$5,3,0),99),1,0)</f>
        <v>0</v>
      </c>
      <c r="AF146" s="44">
        <f>IF(Esiehdot!E$8=IFERROR(VLOOKUP(H146,Valintalistat!G$2:H$3,2,0),98),1,0)</f>
        <v>0</v>
      </c>
      <c r="AG146" s="43">
        <f t="shared" si="21"/>
        <v>0</v>
      </c>
      <c r="AH146" s="43">
        <f>IFERROR(HLOOKUP(Esiehdot!$B$17,Käyttötapauskriteerit!G$1:P146,146,0),1)</f>
        <v>1</v>
      </c>
      <c r="AI146" s="43">
        <f t="shared" si="22"/>
        <v>1</v>
      </c>
      <c r="AJ146" s="43">
        <f t="shared" si="23"/>
        <v>0</v>
      </c>
      <c r="AK146" s="43">
        <f t="shared" si="24"/>
        <v>0</v>
      </c>
      <c r="AL146" s="43">
        <f t="shared" si="25"/>
        <v>0</v>
      </c>
      <c r="AM146" s="43"/>
      <c r="AN146" s="45" t="str">
        <f t="shared" si="26"/>
        <v>Olennainen</v>
      </c>
    </row>
    <row r="147" spans="1:40" ht="50.1">
      <c r="A147" s="5" t="s">
        <v>35</v>
      </c>
      <c r="B147" s="5" t="s">
        <v>499</v>
      </c>
      <c r="C147" s="22" t="s">
        <v>427</v>
      </c>
      <c r="D147" s="22" t="s">
        <v>1067</v>
      </c>
      <c r="E147" s="17" t="s">
        <v>25</v>
      </c>
      <c r="F147" s="17" t="s">
        <v>27</v>
      </c>
      <c r="G147" s="17" t="s">
        <v>27</v>
      </c>
      <c r="H147" s="17" t="s">
        <v>260</v>
      </c>
      <c r="I147" s="17"/>
      <c r="J147" s="17" t="s">
        <v>511</v>
      </c>
      <c r="K147" s="17" t="s">
        <v>773</v>
      </c>
      <c r="L147" s="32" t="s">
        <v>1148</v>
      </c>
      <c r="M147" s="61" t="s">
        <v>1149</v>
      </c>
      <c r="N147" s="23"/>
      <c r="O147" s="23"/>
      <c r="P147" s="9" t="s">
        <v>1150</v>
      </c>
      <c r="Q147" s="9" t="s">
        <v>1151</v>
      </c>
      <c r="R147" s="9"/>
      <c r="S147" s="9" t="s">
        <v>1147</v>
      </c>
      <c r="U147" s="42" t="str">
        <f t="shared" si="18"/>
        <v>TEK-17.2, L:Julkinen, E:Vähäinen, S:Vähäinen, TS:Henkilötieto</v>
      </c>
      <c r="V147" s="42" t="str">
        <f t="shared" si="19"/>
        <v>Katakri: I-16</v>
      </c>
      <c r="W147" s="43">
        <f>IFERROR(VLOOKUP(A147,Esiehdot!A$11:D$15,4,0), 0)</f>
        <v>1</v>
      </c>
      <c r="X147" s="44">
        <f>IF(Esiehdot!D$4&gt;=IFERROR(VLOOKUP(E147,Valintalistat!D$2:H$7,5,0), 99),1,0)</f>
        <v>1</v>
      </c>
      <c r="Y147" s="44">
        <f>IF(Esiehdot!D$5&gt;=IFERROR(VLOOKUP(F147,Valintalistat!E$2:H$5,4,0), 99),1,0)</f>
        <v>1</v>
      </c>
      <c r="Z147" s="44">
        <f>IF(Esiehdot!D$6&gt;=IFERROR(VLOOKUP(G147,Valintalistat!F$2:H$5,3,0),99),1,0)</f>
        <v>1</v>
      </c>
      <c r="AA147" s="44">
        <f>IF(Esiehdot!D$8&gt;=IFERROR(VLOOKUP(H147,Valintalistat!G$2:H$5,2,0),99),1,0)</f>
        <v>0</v>
      </c>
      <c r="AB147" s="43">
        <f t="shared" si="20"/>
        <v>1</v>
      </c>
      <c r="AC147" s="44">
        <f>IF(Esiehdot!E$4=IFERROR(VLOOKUP(E147,Valintalistat!D$2:H$7,5,0),99),1,0)</f>
        <v>0</v>
      </c>
      <c r="AD147" s="44">
        <f>IF(Esiehdot!E$5=IFERROR(VLOOKUP(F147,Valintalistat!E$2:H$5,4,0),99),1,0)</f>
        <v>0</v>
      </c>
      <c r="AE147" s="44">
        <f>IF(Esiehdot!E$6=IFERROR(VLOOKUP(G147,Valintalistat!F$2:H$5,3,0),99),1,0)</f>
        <v>0</v>
      </c>
      <c r="AF147" s="44">
        <f>IF(Esiehdot!E$8=IFERROR(VLOOKUP(H147,Valintalistat!G$2:H$3,2,0),98),1,0)</f>
        <v>0</v>
      </c>
      <c r="AG147" s="43">
        <f t="shared" si="21"/>
        <v>0</v>
      </c>
      <c r="AH147" s="43">
        <f>IFERROR(HLOOKUP(Esiehdot!$B$17,Käyttötapauskriteerit!G$1:P147,147,0),1)</f>
        <v>1</v>
      </c>
      <c r="AI147" s="43">
        <f t="shared" si="22"/>
        <v>1</v>
      </c>
      <c r="AJ147" s="43">
        <f t="shared" si="23"/>
        <v>0</v>
      </c>
      <c r="AK147" s="43">
        <f t="shared" si="24"/>
        <v>0</v>
      </c>
      <c r="AL147" s="43">
        <f t="shared" si="25"/>
        <v>0</v>
      </c>
      <c r="AM147" s="43"/>
      <c r="AN147" s="45" t="str">
        <f t="shared" si="26"/>
        <v>Olennainen</v>
      </c>
    </row>
    <row r="148" spans="1:40" ht="24.95">
      <c r="A148" s="5" t="s">
        <v>35</v>
      </c>
      <c r="B148" s="5" t="s">
        <v>499</v>
      </c>
      <c r="C148" s="22" t="s">
        <v>1152</v>
      </c>
      <c r="D148" s="22" t="s">
        <v>1067</v>
      </c>
      <c r="E148" s="17" t="s">
        <v>554</v>
      </c>
      <c r="F148" s="17" t="s">
        <v>277</v>
      </c>
      <c r="G148" s="17" t="s">
        <v>277</v>
      </c>
      <c r="H148" s="17"/>
      <c r="I148" s="17"/>
      <c r="J148" s="17" t="s">
        <v>511</v>
      </c>
      <c r="K148" s="17" t="s">
        <v>773</v>
      </c>
      <c r="L148" s="32" t="s">
        <v>1153</v>
      </c>
      <c r="M148" s="61" t="s">
        <v>721</v>
      </c>
      <c r="N148" s="23"/>
      <c r="O148" s="23" t="s">
        <v>1154</v>
      </c>
      <c r="P148" s="9" t="s">
        <v>314</v>
      </c>
      <c r="Q148" s="9" t="s">
        <v>1155</v>
      </c>
      <c r="R148" s="9"/>
      <c r="S148" s="9" t="s">
        <v>1147</v>
      </c>
      <c r="U148" s="42" t="str">
        <f t="shared" si="18"/>
        <v>TEK-17.3, L:TL IV, E:Tärkeä, S:Tärkeä, TS:</v>
      </c>
      <c r="V148" s="42" t="str">
        <f t="shared" si="19"/>
        <v>Katakri: I-16</v>
      </c>
      <c r="W148" s="43">
        <f>IFERROR(VLOOKUP(A148,Esiehdot!A$11:D$15,4,0), 0)</f>
        <v>1</v>
      </c>
      <c r="X148" s="44">
        <f>IF(Esiehdot!D$4&gt;=IFERROR(VLOOKUP(E148,Valintalistat!D$2:H$7,5,0), 99),1,0)</f>
        <v>0</v>
      </c>
      <c r="Y148" s="44">
        <f>IF(Esiehdot!D$5&gt;=IFERROR(VLOOKUP(F148,Valintalistat!E$2:H$5,4,0), 99),1,0)</f>
        <v>0</v>
      </c>
      <c r="Z148" s="44">
        <f>IF(Esiehdot!D$6&gt;=IFERROR(VLOOKUP(G148,Valintalistat!F$2:H$5,3,0),99),1,0)</f>
        <v>0</v>
      </c>
      <c r="AA148" s="44">
        <f>IF(Esiehdot!D$8&gt;=IFERROR(VLOOKUP(H148,Valintalistat!G$2:H$5,2,0),99),1,0)</f>
        <v>0</v>
      </c>
      <c r="AB148" s="43">
        <f t="shared" si="20"/>
        <v>0</v>
      </c>
      <c r="AC148" s="44">
        <f>IF(Esiehdot!E$4=IFERROR(VLOOKUP(E148,Valintalistat!D$2:H$7,5,0),99),1,0)</f>
        <v>0</v>
      </c>
      <c r="AD148" s="44">
        <f>IF(Esiehdot!E$5=IFERROR(VLOOKUP(F148,Valintalistat!E$2:H$5,4,0),99),1,0)</f>
        <v>0</v>
      </c>
      <c r="AE148" s="44">
        <f>IF(Esiehdot!E$6=IFERROR(VLOOKUP(G148,Valintalistat!F$2:H$5,3,0),99),1,0)</f>
        <v>0</v>
      </c>
      <c r="AF148" s="44">
        <f>IF(Esiehdot!E$8=IFERROR(VLOOKUP(H148,Valintalistat!G$2:H$3,2,0),98),1,0)</f>
        <v>0</v>
      </c>
      <c r="AG148" s="43">
        <f t="shared" si="21"/>
        <v>0</v>
      </c>
      <c r="AH148" s="43">
        <f>IFERROR(HLOOKUP(Esiehdot!$B$17,Käyttötapauskriteerit!G$1:P148,148,0),1)</f>
        <v>1</v>
      </c>
      <c r="AI148" s="43">
        <f t="shared" si="22"/>
        <v>0</v>
      </c>
      <c r="AJ148" s="43">
        <f t="shared" si="23"/>
        <v>0</v>
      </c>
      <c r="AK148" s="43">
        <f t="shared" si="24"/>
        <v>0</v>
      </c>
      <c r="AL148" s="43">
        <f t="shared" si="25"/>
        <v>0</v>
      </c>
      <c r="AM148" s="43"/>
      <c r="AN148" s="45" t="str">
        <f t="shared" si="26"/>
        <v>Ei ehdoteta hankintaan</v>
      </c>
    </row>
    <row r="149" spans="1:40" ht="24.95">
      <c r="A149" s="5" t="s">
        <v>35</v>
      </c>
      <c r="B149" s="5" t="s">
        <v>499</v>
      </c>
      <c r="C149" s="22" t="s">
        <v>1156</v>
      </c>
      <c r="D149" s="22" t="s">
        <v>1067</v>
      </c>
      <c r="E149" s="17" t="s">
        <v>571</v>
      </c>
      <c r="F149" s="17" t="s">
        <v>406</v>
      </c>
      <c r="G149" s="17" t="s">
        <v>406</v>
      </c>
      <c r="H149" s="17"/>
      <c r="I149" s="17"/>
      <c r="J149" s="17" t="s">
        <v>511</v>
      </c>
      <c r="K149" s="17" t="s">
        <v>773</v>
      </c>
      <c r="L149" s="32" t="s">
        <v>1157</v>
      </c>
      <c r="M149" s="61" t="s">
        <v>721</v>
      </c>
      <c r="N149" s="23"/>
      <c r="O149" s="23" t="s">
        <v>1158</v>
      </c>
      <c r="P149" s="9" t="s">
        <v>1036</v>
      </c>
      <c r="Q149" s="9"/>
      <c r="R149" s="9"/>
      <c r="S149" s="9" t="s">
        <v>1147</v>
      </c>
      <c r="U149" s="42" t="str">
        <f t="shared" si="18"/>
        <v>TEK-17.4, L:TL II, E:Kriittinen, S:Kriittinen, TS:</v>
      </c>
      <c r="V149" s="42" t="str">
        <f t="shared" si="19"/>
        <v>Katakri: I-16</v>
      </c>
      <c r="W149" s="43">
        <f>IFERROR(VLOOKUP(A149,Esiehdot!A$11:D$15,4,0), 0)</f>
        <v>1</v>
      </c>
      <c r="X149" s="44">
        <f>IF(Esiehdot!D$4&gt;=IFERROR(VLOOKUP(E149,Valintalistat!D$2:H$7,5,0), 99),1,0)</f>
        <v>0</v>
      </c>
      <c r="Y149" s="44">
        <f>IF(Esiehdot!D$5&gt;=IFERROR(VLOOKUP(F149,Valintalistat!E$2:H$5,4,0), 99),1,0)</f>
        <v>0</v>
      </c>
      <c r="Z149" s="44">
        <f>IF(Esiehdot!D$6&gt;=IFERROR(VLOOKUP(G149,Valintalistat!F$2:H$5,3,0),99),1,0)</f>
        <v>0</v>
      </c>
      <c r="AA149" s="44">
        <f>IF(Esiehdot!D$8&gt;=IFERROR(VLOOKUP(H149,Valintalistat!G$2:H$5,2,0),99),1,0)</f>
        <v>0</v>
      </c>
      <c r="AB149" s="43">
        <f t="shared" si="20"/>
        <v>0</v>
      </c>
      <c r="AC149" s="44">
        <f>IF(Esiehdot!E$4=IFERROR(VLOOKUP(E149,Valintalistat!D$2:H$7,5,0),99),1,0)</f>
        <v>0</v>
      </c>
      <c r="AD149" s="44">
        <f>IF(Esiehdot!E$5=IFERROR(VLOOKUP(F149,Valintalistat!E$2:H$5,4,0),99),1,0)</f>
        <v>0</v>
      </c>
      <c r="AE149" s="44">
        <f>IF(Esiehdot!E$6=IFERROR(VLOOKUP(G149,Valintalistat!F$2:H$5,3,0),99),1,0)</f>
        <v>0</v>
      </c>
      <c r="AF149" s="44">
        <f>IF(Esiehdot!E$8=IFERROR(VLOOKUP(H149,Valintalistat!G$2:H$3,2,0),98),1,0)</f>
        <v>0</v>
      </c>
      <c r="AG149" s="43">
        <f t="shared" si="21"/>
        <v>0</v>
      </c>
      <c r="AH149" s="43">
        <f>IFERROR(HLOOKUP(Esiehdot!$B$17,Käyttötapauskriteerit!G$1:P149,149,0),1)</f>
        <v>1</v>
      </c>
      <c r="AI149" s="43">
        <f t="shared" si="22"/>
        <v>0</v>
      </c>
      <c r="AJ149" s="43">
        <f t="shared" si="23"/>
        <v>0</v>
      </c>
      <c r="AK149" s="43">
        <f t="shared" si="24"/>
        <v>0</v>
      </c>
      <c r="AL149" s="43">
        <f t="shared" si="25"/>
        <v>0</v>
      </c>
      <c r="AM149" s="43"/>
      <c r="AN149" s="45" t="str">
        <f t="shared" si="26"/>
        <v>Ei ehdoteta hankintaan</v>
      </c>
    </row>
    <row r="150" spans="1:40" ht="37.5">
      <c r="A150" s="5" t="s">
        <v>35</v>
      </c>
      <c r="B150" s="5" t="s">
        <v>499</v>
      </c>
      <c r="C150" s="22" t="s">
        <v>1159</v>
      </c>
      <c r="E150" s="17" t="s">
        <v>276</v>
      </c>
      <c r="F150" s="17" t="s">
        <v>964</v>
      </c>
      <c r="G150" s="17"/>
      <c r="H150" s="17" t="s">
        <v>260</v>
      </c>
      <c r="I150" s="17"/>
      <c r="J150" s="17" t="s">
        <v>511</v>
      </c>
      <c r="K150" s="17" t="s">
        <v>773</v>
      </c>
      <c r="L150" s="32" t="s">
        <v>1160</v>
      </c>
      <c r="M150" s="61" t="s">
        <v>1161</v>
      </c>
      <c r="N150" s="23" t="s">
        <v>1162</v>
      </c>
      <c r="O150" s="23" t="s">
        <v>1163</v>
      </c>
      <c r="P150" s="9" t="s">
        <v>1164</v>
      </c>
      <c r="Q150" s="9" t="s">
        <v>1165</v>
      </c>
      <c r="R150" s="9" t="s">
        <v>1166</v>
      </c>
      <c r="S150" s="9" t="s">
        <v>1167</v>
      </c>
      <c r="U150" s="42" t="str">
        <f t="shared" si="18"/>
        <v>TEK-18, L:Salassa pidettävä, E:Normaali, S:, TS:Henkilötieto</v>
      </c>
      <c r="V150" s="42" t="str">
        <f t="shared" si="19"/>
        <v>Julkri: HAL-12, HAL-13, HAL-19; Katakri: I-17, I-18</v>
      </c>
      <c r="W150" s="43">
        <f>IFERROR(VLOOKUP(A150,Esiehdot!A$11:D$15,4,0), 0)</f>
        <v>1</v>
      </c>
      <c r="X150" s="44">
        <f>IF(Esiehdot!D$4&gt;=IFERROR(VLOOKUP(E150,Valintalistat!D$2:H$7,5,0), 99),1,0)</f>
        <v>0</v>
      </c>
      <c r="Y150" s="44">
        <f>IF(Esiehdot!D$5&gt;=IFERROR(VLOOKUP(F150,Valintalistat!E$2:H$5,4,0), 99),1,0)</f>
        <v>0</v>
      </c>
      <c r="Z150" s="44">
        <f>IF(Esiehdot!D$6&gt;=IFERROR(VLOOKUP(G150,Valintalistat!F$2:H$5,3,0),99),1,0)</f>
        <v>0</v>
      </c>
      <c r="AA150" s="44">
        <f>IF(Esiehdot!D$8&gt;=IFERROR(VLOOKUP(H150,Valintalistat!G$2:H$5,2,0),99),1,0)</f>
        <v>0</v>
      </c>
      <c r="AB150" s="43">
        <f t="shared" si="20"/>
        <v>0</v>
      </c>
      <c r="AC150" s="44">
        <f>IF(Esiehdot!E$4=IFERROR(VLOOKUP(E150,Valintalistat!D$2:H$7,5,0),99),1,0)</f>
        <v>1</v>
      </c>
      <c r="AD150" s="44">
        <f>IF(Esiehdot!E$5=IFERROR(VLOOKUP(F150,Valintalistat!E$2:H$5,4,0),99),1,0)</f>
        <v>1</v>
      </c>
      <c r="AE150" s="44">
        <f>IF(Esiehdot!E$6=IFERROR(VLOOKUP(G150,Valintalistat!F$2:H$5,3,0),99),1,0)</f>
        <v>0</v>
      </c>
      <c r="AF150" s="44">
        <f>IF(Esiehdot!E$8=IFERROR(VLOOKUP(H150,Valintalistat!G$2:H$3,2,0),98),1,0)</f>
        <v>0</v>
      </c>
      <c r="AG150" s="43">
        <f t="shared" si="21"/>
        <v>1</v>
      </c>
      <c r="AH150" s="43">
        <f>IFERROR(HLOOKUP(Esiehdot!$B$17,Käyttötapauskriteerit!G$1:P150,150,0),1)</f>
        <v>1</v>
      </c>
      <c r="AI150" s="43">
        <f t="shared" si="22"/>
        <v>0</v>
      </c>
      <c r="AJ150" s="43">
        <f t="shared" si="23"/>
        <v>0</v>
      </c>
      <c r="AK150" s="43">
        <f t="shared" si="24"/>
        <v>1</v>
      </c>
      <c r="AL150" s="43">
        <f t="shared" si="25"/>
        <v>0</v>
      </c>
      <c r="AM150" s="43"/>
      <c r="AN150" s="45" t="str">
        <f t="shared" si="26"/>
        <v>Valinnainen</v>
      </c>
    </row>
    <row r="151" spans="1:40" ht="87.6">
      <c r="A151" s="5" t="s">
        <v>35</v>
      </c>
      <c r="B151" s="5" t="s">
        <v>499</v>
      </c>
      <c r="C151" s="22" t="s">
        <v>1168</v>
      </c>
      <c r="D151" s="22" t="s">
        <v>1159</v>
      </c>
      <c r="E151" s="17" t="s">
        <v>276</v>
      </c>
      <c r="F151" s="17" t="s">
        <v>277</v>
      </c>
      <c r="G151" s="17"/>
      <c r="H151" s="17" t="s">
        <v>278</v>
      </c>
      <c r="I151" s="17"/>
      <c r="J151" s="17" t="s">
        <v>511</v>
      </c>
      <c r="K151" s="17" t="s">
        <v>773</v>
      </c>
      <c r="L151" s="32" t="s">
        <v>1169</v>
      </c>
      <c r="M151" s="61" t="s">
        <v>1170</v>
      </c>
      <c r="N151" s="23" t="s">
        <v>1171</v>
      </c>
      <c r="O151" s="23" t="s">
        <v>1172</v>
      </c>
      <c r="P151" s="9" t="s">
        <v>1173</v>
      </c>
      <c r="Q151" s="9" t="s">
        <v>1174</v>
      </c>
      <c r="R151" s="9" t="s">
        <v>787</v>
      </c>
      <c r="S151" s="9" t="s">
        <v>905</v>
      </c>
      <c r="U151" s="42" t="str">
        <f t="shared" si="18"/>
        <v>TEK-18.1, L:Salassa pidettävä, E:Tärkeä, S:, TS:Erityinen henkilötietoryhmä</v>
      </c>
      <c r="V151" s="42" t="str">
        <f t="shared" si="19"/>
        <v>Julkri: FYY-7.1; Katakri: I-18</v>
      </c>
      <c r="W151" s="43">
        <f>IFERROR(VLOOKUP(A151,Esiehdot!A$11:D$15,4,0), 0)</f>
        <v>1</v>
      </c>
      <c r="X151" s="44">
        <f>IF(Esiehdot!D$4&gt;=IFERROR(VLOOKUP(E151,Valintalistat!D$2:H$7,5,0), 99),1,0)</f>
        <v>0</v>
      </c>
      <c r="Y151" s="44">
        <f>IF(Esiehdot!D$5&gt;=IFERROR(VLOOKUP(F151,Valintalistat!E$2:H$5,4,0), 99),1,0)</f>
        <v>0</v>
      </c>
      <c r="Z151" s="44">
        <f>IF(Esiehdot!D$6&gt;=IFERROR(VLOOKUP(G151,Valintalistat!F$2:H$5,3,0),99),1,0)</f>
        <v>0</v>
      </c>
      <c r="AA151" s="44">
        <f>IF(Esiehdot!D$8&gt;=IFERROR(VLOOKUP(H151,Valintalistat!G$2:H$5,2,0),99),1,0)</f>
        <v>0</v>
      </c>
      <c r="AB151" s="43">
        <f t="shared" si="20"/>
        <v>0</v>
      </c>
      <c r="AC151" s="44">
        <f>IF(Esiehdot!E$4=IFERROR(VLOOKUP(E151,Valintalistat!D$2:H$7,5,0),99),1,0)</f>
        <v>1</v>
      </c>
      <c r="AD151" s="44">
        <f>IF(Esiehdot!E$5=IFERROR(VLOOKUP(F151,Valintalistat!E$2:H$5,4,0),99),1,0)</f>
        <v>0</v>
      </c>
      <c r="AE151" s="44">
        <f>IF(Esiehdot!E$6=IFERROR(VLOOKUP(G151,Valintalistat!F$2:H$5,3,0),99),1,0)</f>
        <v>0</v>
      </c>
      <c r="AF151" s="44">
        <f>IF(Esiehdot!E$8=IFERROR(VLOOKUP(H151,Valintalistat!G$2:H$3,2,0),98),1,0)</f>
        <v>0</v>
      </c>
      <c r="AG151" s="43">
        <f t="shared" si="21"/>
        <v>1</v>
      </c>
      <c r="AH151" s="43">
        <f>IFERROR(HLOOKUP(Esiehdot!$B$17,Käyttötapauskriteerit!G$1:P151,151,0),1)</f>
        <v>1</v>
      </c>
      <c r="AI151" s="43">
        <f t="shared" si="22"/>
        <v>0</v>
      </c>
      <c r="AJ151" s="43">
        <f t="shared" si="23"/>
        <v>0</v>
      </c>
      <c r="AK151" s="43">
        <f t="shared" si="24"/>
        <v>1</v>
      </c>
      <c r="AL151" s="43">
        <f t="shared" si="25"/>
        <v>0</v>
      </c>
      <c r="AM151" s="43"/>
      <c r="AN151" s="45" t="str">
        <f t="shared" si="26"/>
        <v>Valinnainen</v>
      </c>
    </row>
    <row r="152" spans="1:40" ht="62.45">
      <c r="A152" s="5" t="s">
        <v>35</v>
      </c>
      <c r="B152" s="5" t="s">
        <v>499</v>
      </c>
      <c r="C152" s="22" t="s">
        <v>1175</v>
      </c>
      <c r="D152" s="22" t="s">
        <v>1159</v>
      </c>
      <c r="E152" s="17" t="s">
        <v>554</v>
      </c>
      <c r="F152" s="17"/>
      <c r="G152" s="17"/>
      <c r="H152" s="17"/>
      <c r="I152" s="17"/>
      <c r="J152" s="17" t="s">
        <v>511</v>
      </c>
      <c r="K152" s="17" t="s">
        <v>773</v>
      </c>
      <c r="L152" s="32" t="s">
        <v>1176</v>
      </c>
      <c r="M152" s="61" t="s">
        <v>1177</v>
      </c>
      <c r="N152" s="23" t="s">
        <v>1178</v>
      </c>
      <c r="O152" s="23" t="s">
        <v>1179</v>
      </c>
      <c r="P152" s="9" t="s">
        <v>1173</v>
      </c>
      <c r="Q152" s="9" t="s">
        <v>1174</v>
      </c>
      <c r="R152" s="9" t="s">
        <v>787</v>
      </c>
      <c r="S152" s="9" t="s">
        <v>905</v>
      </c>
      <c r="U152" s="42" t="str">
        <f t="shared" si="18"/>
        <v>TEK-18.2, L:TL IV, E:, S:, TS:</v>
      </c>
      <c r="V152" s="42" t="str">
        <f t="shared" si="19"/>
        <v>Julkri: FYY-7.1; Katakri: I-18</v>
      </c>
      <c r="W152" s="43">
        <f>IFERROR(VLOOKUP(A152,Esiehdot!A$11:D$15,4,0), 0)</f>
        <v>1</v>
      </c>
      <c r="X152" s="44">
        <f>IF(Esiehdot!D$4&gt;=IFERROR(VLOOKUP(E152,Valintalistat!D$2:H$7,5,0), 99),1,0)</f>
        <v>0</v>
      </c>
      <c r="Y152" s="44">
        <f>IF(Esiehdot!D$5&gt;=IFERROR(VLOOKUP(F152,Valintalistat!E$2:H$5,4,0), 99),1,0)</f>
        <v>0</v>
      </c>
      <c r="Z152" s="44">
        <f>IF(Esiehdot!D$6&gt;=IFERROR(VLOOKUP(G152,Valintalistat!F$2:H$5,3,0),99),1,0)</f>
        <v>0</v>
      </c>
      <c r="AA152" s="44">
        <f>IF(Esiehdot!D$8&gt;=IFERROR(VLOOKUP(H152,Valintalistat!G$2:H$5,2,0),99),1,0)</f>
        <v>0</v>
      </c>
      <c r="AB152" s="43">
        <f t="shared" si="20"/>
        <v>0</v>
      </c>
      <c r="AC152" s="44">
        <f>IF(Esiehdot!E$4=IFERROR(VLOOKUP(E152,Valintalistat!D$2:H$7,5,0),99),1,0)</f>
        <v>0</v>
      </c>
      <c r="AD152" s="44">
        <f>IF(Esiehdot!E$5=IFERROR(VLOOKUP(F152,Valintalistat!E$2:H$5,4,0),99),1,0)</f>
        <v>0</v>
      </c>
      <c r="AE152" s="44">
        <f>IF(Esiehdot!E$6=IFERROR(VLOOKUP(G152,Valintalistat!F$2:H$5,3,0),99),1,0)</f>
        <v>0</v>
      </c>
      <c r="AF152" s="44">
        <f>IF(Esiehdot!E$8=IFERROR(VLOOKUP(H152,Valintalistat!G$2:H$3,2,0),98),1,0)</f>
        <v>0</v>
      </c>
      <c r="AG152" s="43">
        <f t="shared" si="21"/>
        <v>0</v>
      </c>
      <c r="AH152" s="43">
        <f>IFERROR(HLOOKUP(Esiehdot!$B$17,Käyttötapauskriteerit!G$1:P152,152,0),1)</f>
        <v>1</v>
      </c>
      <c r="AI152" s="43">
        <f t="shared" si="22"/>
        <v>0</v>
      </c>
      <c r="AJ152" s="43">
        <f t="shared" si="23"/>
        <v>0</v>
      </c>
      <c r="AK152" s="43">
        <f t="shared" si="24"/>
        <v>0</v>
      </c>
      <c r="AL152" s="43">
        <f t="shared" si="25"/>
        <v>0</v>
      </c>
      <c r="AM152" s="43"/>
      <c r="AN152" s="45" t="str">
        <f t="shared" si="26"/>
        <v>Ei ehdoteta hankintaan</v>
      </c>
    </row>
    <row r="153" spans="1:40" ht="50.1">
      <c r="A153" s="5" t="s">
        <v>35</v>
      </c>
      <c r="B153" s="5" t="s">
        <v>499</v>
      </c>
      <c r="C153" s="22" t="s">
        <v>1180</v>
      </c>
      <c r="D153" s="22" t="s">
        <v>1159</v>
      </c>
      <c r="E153" s="17" t="s">
        <v>554</v>
      </c>
      <c r="F153" s="17" t="s">
        <v>277</v>
      </c>
      <c r="G153" s="17"/>
      <c r="H153" s="17"/>
      <c r="I153" s="17"/>
      <c r="J153" s="17" t="s">
        <v>511</v>
      </c>
      <c r="K153" s="17" t="s">
        <v>773</v>
      </c>
      <c r="L153" s="32" t="s">
        <v>1181</v>
      </c>
      <c r="M153" s="61" t="s">
        <v>1182</v>
      </c>
      <c r="N153" s="23" t="s">
        <v>916</v>
      </c>
      <c r="O153" s="23"/>
      <c r="P153" s="9" t="s">
        <v>1183</v>
      </c>
      <c r="Q153" s="9"/>
      <c r="R153" s="9"/>
      <c r="S153" s="9" t="s">
        <v>1184</v>
      </c>
      <c r="U153" s="42" t="str">
        <f t="shared" si="18"/>
        <v>TEK-18.3, L:TL IV, E:Tärkeä, S:, TS:</v>
      </c>
      <c r="V153" s="42" t="str">
        <f t="shared" si="19"/>
        <v>Katakri: F-04, I-18</v>
      </c>
      <c r="W153" s="43">
        <f>IFERROR(VLOOKUP(A153,Esiehdot!A$11:D$15,4,0), 0)</f>
        <v>1</v>
      </c>
      <c r="X153" s="44">
        <f>IF(Esiehdot!D$4&gt;=IFERROR(VLOOKUP(E153,Valintalistat!D$2:H$7,5,0), 99),1,0)</f>
        <v>0</v>
      </c>
      <c r="Y153" s="44">
        <f>IF(Esiehdot!D$5&gt;=IFERROR(VLOOKUP(F153,Valintalistat!E$2:H$5,4,0), 99),1,0)</f>
        <v>0</v>
      </c>
      <c r="Z153" s="44">
        <f>IF(Esiehdot!D$6&gt;=IFERROR(VLOOKUP(G153,Valintalistat!F$2:H$5,3,0),99),1,0)</f>
        <v>0</v>
      </c>
      <c r="AA153" s="44">
        <f>IF(Esiehdot!D$8&gt;=IFERROR(VLOOKUP(H153,Valintalistat!G$2:H$5,2,0),99),1,0)</f>
        <v>0</v>
      </c>
      <c r="AB153" s="43">
        <f t="shared" si="20"/>
        <v>0</v>
      </c>
      <c r="AC153" s="44">
        <f>IF(Esiehdot!E$4=IFERROR(VLOOKUP(E153,Valintalistat!D$2:H$7,5,0),99),1,0)</f>
        <v>0</v>
      </c>
      <c r="AD153" s="44">
        <f>IF(Esiehdot!E$5=IFERROR(VLOOKUP(F153,Valintalistat!E$2:H$5,4,0),99),1,0)</f>
        <v>0</v>
      </c>
      <c r="AE153" s="44">
        <f>IF(Esiehdot!E$6=IFERROR(VLOOKUP(G153,Valintalistat!F$2:H$5,3,0),99),1,0)</f>
        <v>0</v>
      </c>
      <c r="AF153" s="44">
        <f>IF(Esiehdot!E$8=IFERROR(VLOOKUP(H153,Valintalistat!G$2:H$3,2,0),98),1,0)</f>
        <v>0</v>
      </c>
      <c r="AG153" s="43">
        <f t="shared" si="21"/>
        <v>0</v>
      </c>
      <c r="AH153" s="43">
        <f>IFERROR(HLOOKUP(Esiehdot!$B$17,Käyttötapauskriteerit!G$1:P153,153,0),1)</f>
        <v>1</v>
      </c>
      <c r="AI153" s="43">
        <f t="shared" si="22"/>
        <v>0</v>
      </c>
      <c r="AJ153" s="43">
        <f t="shared" si="23"/>
        <v>0</v>
      </c>
      <c r="AK153" s="43">
        <f t="shared" si="24"/>
        <v>0</v>
      </c>
      <c r="AL153" s="43">
        <f t="shared" si="25"/>
        <v>0</v>
      </c>
      <c r="AM153" s="43"/>
      <c r="AN153" s="45" t="str">
        <f t="shared" si="26"/>
        <v>Ei ehdoteta hankintaan</v>
      </c>
    </row>
    <row r="154" spans="1:40" ht="37.5">
      <c r="A154" s="5" t="s">
        <v>35</v>
      </c>
      <c r="B154" s="5" t="s">
        <v>499</v>
      </c>
      <c r="C154" s="22" t="s">
        <v>1185</v>
      </c>
      <c r="D154" s="22" t="s">
        <v>1159</v>
      </c>
      <c r="E154" s="17" t="s">
        <v>554</v>
      </c>
      <c r="F154" s="17" t="s">
        <v>406</v>
      </c>
      <c r="G154" s="17"/>
      <c r="H154" s="17"/>
      <c r="I154" s="17"/>
      <c r="J154" s="17" t="s">
        <v>511</v>
      </c>
      <c r="K154" s="17" t="s">
        <v>773</v>
      </c>
      <c r="L154" s="32" t="s">
        <v>1186</v>
      </c>
      <c r="M154" s="61" t="s">
        <v>1187</v>
      </c>
      <c r="N154" s="23"/>
      <c r="O154" s="23" t="s">
        <v>1188</v>
      </c>
      <c r="P154" s="9" t="s">
        <v>1189</v>
      </c>
      <c r="Q154" s="9"/>
      <c r="R154" s="9"/>
      <c r="S154" s="9" t="s">
        <v>1184</v>
      </c>
      <c r="U154" s="42" t="str">
        <f t="shared" si="18"/>
        <v>TEK-18.4, L:TL IV, E:Kriittinen, S:, TS:</v>
      </c>
      <c r="V154" s="42" t="str">
        <f t="shared" si="19"/>
        <v>Katakri: F-04, I-18</v>
      </c>
      <c r="W154" s="43">
        <f>IFERROR(VLOOKUP(A154,Esiehdot!A$11:D$15,4,0), 0)</f>
        <v>1</v>
      </c>
      <c r="X154" s="44">
        <f>IF(Esiehdot!D$4&gt;=IFERROR(VLOOKUP(E154,Valintalistat!D$2:H$7,5,0), 99),1,0)</f>
        <v>0</v>
      </c>
      <c r="Y154" s="44">
        <f>IF(Esiehdot!D$5&gt;=IFERROR(VLOOKUP(F154,Valintalistat!E$2:H$5,4,0), 99),1,0)</f>
        <v>0</v>
      </c>
      <c r="Z154" s="44">
        <f>IF(Esiehdot!D$6&gt;=IFERROR(VLOOKUP(G154,Valintalistat!F$2:H$5,3,0),99),1,0)</f>
        <v>0</v>
      </c>
      <c r="AA154" s="44">
        <f>IF(Esiehdot!D$8&gt;=IFERROR(VLOOKUP(H154,Valintalistat!G$2:H$5,2,0),99),1,0)</f>
        <v>0</v>
      </c>
      <c r="AB154" s="43">
        <f t="shared" si="20"/>
        <v>0</v>
      </c>
      <c r="AC154" s="44">
        <f>IF(Esiehdot!E$4=IFERROR(VLOOKUP(E154,Valintalistat!D$2:H$7,5,0),99),1,0)</f>
        <v>0</v>
      </c>
      <c r="AD154" s="44">
        <f>IF(Esiehdot!E$5=IFERROR(VLOOKUP(F154,Valintalistat!E$2:H$5,4,0),99),1,0)</f>
        <v>0</v>
      </c>
      <c r="AE154" s="44">
        <f>IF(Esiehdot!E$6=IFERROR(VLOOKUP(G154,Valintalistat!F$2:H$5,3,0),99),1,0)</f>
        <v>0</v>
      </c>
      <c r="AF154" s="44">
        <f>IF(Esiehdot!E$8=IFERROR(VLOOKUP(H154,Valintalistat!G$2:H$3,2,0),98),1,0)</f>
        <v>0</v>
      </c>
      <c r="AG154" s="43">
        <f t="shared" si="21"/>
        <v>0</v>
      </c>
      <c r="AH154" s="43">
        <f>IFERROR(HLOOKUP(Esiehdot!$B$17,Käyttötapauskriteerit!G$1:P154,154,0),1)</f>
        <v>1</v>
      </c>
      <c r="AI154" s="43">
        <f t="shared" si="22"/>
        <v>0</v>
      </c>
      <c r="AJ154" s="43">
        <f t="shared" si="23"/>
        <v>0</v>
      </c>
      <c r="AK154" s="43">
        <f t="shared" si="24"/>
        <v>0</v>
      </c>
      <c r="AL154" s="43">
        <f t="shared" si="25"/>
        <v>0</v>
      </c>
      <c r="AM154" s="43"/>
      <c r="AN154" s="45" t="str">
        <f t="shared" si="26"/>
        <v>Ei ehdoteta hankintaan</v>
      </c>
    </row>
    <row r="155" spans="1:40" ht="37.5">
      <c r="A155" s="5" t="s">
        <v>35</v>
      </c>
      <c r="B155" s="5" t="s">
        <v>499</v>
      </c>
      <c r="C155" s="22" t="s">
        <v>1190</v>
      </c>
      <c r="D155" s="22" t="s">
        <v>1159</v>
      </c>
      <c r="E155" s="17" t="s">
        <v>446</v>
      </c>
      <c r="F155" s="17"/>
      <c r="G155" s="17"/>
      <c r="H155" s="17"/>
      <c r="I155" s="17"/>
      <c r="J155" s="17" t="s">
        <v>511</v>
      </c>
      <c r="K155" s="17" t="s">
        <v>773</v>
      </c>
      <c r="L155" s="32" t="s">
        <v>1191</v>
      </c>
      <c r="M155" s="61" t="s">
        <v>1192</v>
      </c>
      <c r="N155" s="23"/>
      <c r="O155" s="23"/>
      <c r="P155" s="9" t="s">
        <v>1193</v>
      </c>
      <c r="Q155" s="9"/>
      <c r="R155" s="9" t="s">
        <v>787</v>
      </c>
      <c r="S155" s="9" t="s">
        <v>905</v>
      </c>
      <c r="U155" s="42" t="str">
        <f t="shared" si="18"/>
        <v>TEK-18.5, L:TL III, E:, S:, TS:</v>
      </c>
      <c r="V155" s="42" t="str">
        <f t="shared" si="19"/>
        <v>Julkri: FYY-7.1; Katakri: I-18</v>
      </c>
      <c r="W155" s="43">
        <f>IFERROR(VLOOKUP(A155,Esiehdot!A$11:D$15,4,0), 0)</f>
        <v>1</v>
      </c>
      <c r="X155" s="44">
        <f>IF(Esiehdot!D$4&gt;=IFERROR(VLOOKUP(E155,Valintalistat!D$2:H$7,5,0), 99),1,0)</f>
        <v>0</v>
      </c>
      <c r="Y155" s="44">
        <f>IF(Esiehdot!D$5&gt;=IFERROR(VLOOKUP(F155,Valintalistat!E$2:H$5,4,0), 99),1,0)</f>
        <v>0</v>
      </c>
      <c r="Z155" s="44">
        <f>IF(Esiehdot!D$6&gt;=IFERROR(VLOOKUP(G155,Valintalistat!F$2:H$5,3,0),99),1,0)</f>
        <v>0</v>
      </c>
      <c r="AA155" s="44">
        <f>IF(Esiehdot!D$8&gt;=IFERROR(VLOOKUP(H155,Valintalistat!G$2:H$5,2,0),99),1,0)</f>
        <v>0</v>
      </c>
      <c r="AB155" s="43">
        <f t="shared" si="20"/>
        <v>0</v>
      </c>
      <c r="AC155" s="44">
        <f>IF(Esiehdot!E$4=IFERROR(VLOOKUP(E155,Valintalistat!D$2:H$7,5,0),99),1,0)</f>
        <v>0</v>
      </c>
      <c r="AD155" s="44">
        <f>IF(Esiehdot!E$5=IFERROR(VLOOKUP(F155,Valintalistat!E$2:H$5,4,0),99),1,0)</f>
        <v>0</v>
      </c>
      <c r="AE155" s="44">
        <f>IF(Esiehdot!E$6=IFERROR(VLOOKUP(G155,Valintalistat!F$2:H$5,3,0),99),1,0)</f>
        <v>0</v>
      </c>
      <c r="AF155" s="44">
        <f>IF(Esiehdot!E$8=IFERROR(VLOOKUP(H155,Valintalistat!G$2:H$3,2,0),98),1,0)</f>
        <v>0</v>
      </c>
      <c r="AG155" s="43">
        <f t="shared" si="21"/>
        <v>0</v>
      </c>
      <c r="AH155" s="43">
        <f>IFERROR(HLOOKUP(Esiehdot!$B$17,Käyttötapauskriteerit!G$1:P155,155,0),1)</f>
        <v>1</v>
      </c>
      <c r="AI155" s="43">
        <f t="shared" si="22"/>
        <v>0</v>
      </c>
      <c r="AJ155" s="43">
        <f t="shared" si="23"/>
        <v>0</v>
      </c>
      <c r="AK155" s="43">
        <f t="shared" si="24"/>
        <v>0</v>
      </c>
      <c r="AL155" s="43">
        <f t="shared" si="25"/>
        <v>0</v>
      </c>
      <c r="AM155" s="43"/>
      <c r="AN155" s="45" t="str">
        <f t="shared" si="26"/>
        <v>Ei ehdoteta hankintaan</v>
      </c>
    </row>
    <row r="156" spans="1:40" ht="24.95">
      <c r="A156" s="5" t="s">
        <v>35</v>
      </c>
      <c r="B156" s="5" t="s">
        <v>499</v>
      </c>
      <c r="C156" s="22" t="s">
        <v>1194</v>
      </c>
      <c r="D156" s="22" t="s">
        <v>1159</v>
      </c>
      <c r="E156" s="17" t="s">
        <v>446</v>
      </c>
      <c r="F156" s="17" t="s">
        <v>406</v>
      </c>
      <c r="G156" s="17"/>
      <c r="H156" s="17"/>
      <c r="I156" s="17"/>
      <c r="J156" s="17" t="s">
        <v>511</v>
      </c>
      <c r="K156" s="17" t="s">
        <v>773</v>
      </c>
      <c r="L156" s="32" t="s">
        <v>1195</v>
      </c>
      <c r="M156" s="61" t="s">
        <v>721</v>
      </c>
      <c r="N156" s="23" t="s">
        <v>1196</v>
      </c>
      <c r="O156" s="23" t="s">
        <v>1197</v>
      </c>
      <c r="P156" s="9" t="s">
        <v>1183</v>
      </c>
      <c r="Q156" s="9"/>
      <c r="R156" s="9"/>
      <c r="S156" s="9" t="s">
        <v>905</v>
      </c>
      <c r="U156" s="42" t="str">
        <f t="shared" si="18"/>
        <v>TEK-18.6, L:TL III, E:Kriittinen, S:, TS:</v>
      </c>
      <c r="V156" s="42" t="str">
        <f t="shared" si="19"/>
        <v>Katakri: I-18</v>
      </c>
      <c r="W156" s="43">
        <f>IFERROR(VLOOKUP(A156,Esiehdot!A$11:D$15,4,0), 0)</f>
        <v>1</v>
      </c>
      <c r="X156" s="44">
        <f>IF(Esiehdot!D$4&gt;=IFERROR(VLOOKUP(E156,Valintalistat!D$2:H$7,5,0), 99),1,0)</f>
        <v>0</v>
      </c>
      <c r="Y156" s="44">
        <f>IF(Esiehdot!D$5&gt;=IFERROR(VLOOKUP(F156,Valintalistat!E$2:H$5,4,0), 99),1,0)</f>
        <v>0</v>
      </c>
      <c r="Z156" s="44">
        <f>IF(Esiehdot!D$6&gt;=IFERROR(VLOOKUP(G156,Valintalistat!F$2:H$5,3,0),99),1,0)</f>
        <v>0</v>
      </c>
      <c r="AA156" s="44">
        <f>IF(Esiehdot!D$8&gt;=IFERROR(VLOOKUP(H156,Valintalistat!G$2:H$5,2,0),99),1,0)</f>
        <v>0</v>
      </c>
      <c r="AB156" s="43">
        <f t="shared" si="20"/>
        <v>0</v>
      </c>
      <c r="AC156" s="44">
        <f>IF(Esiehdot!E$4=IFERROR(VLOOKUP(E156,Valintalistat!D$2:H$7,5,0),99),1,0)</f>
        <v>0</v>
      </c>
      <c r="AD156" s="44">
        <f>IF(Esiehdot!E$5=IFERROR(VLOOKUP(F156,Valintalistat!E$2:H$5,4,0),99),1,0)</f>
        <v>0</v>
      </c>
      <c r="AE156" s="44">
        <f>IF(Esiehdot!E$6=IFERROR(VLOOKUP(G156,Valintalistat!F$2:H$5,3,0),99),1,0)</f>
        <v>0</v>
      </c>
      <c r="AF156" s="44">
        <f>IF(Esiehdot!E$8=IFERROR(VLOOKUP(H156,Valintalistat!G$2:H$3,2,0),98),1,0)</f>
        <v>0</v>
      </c>
      <c r="AG156" s="43">
        <f t="shared" si="21"/>
        <v>0</v>
      </c>
      <c r="AH156" s="43">
        <f>IFERROR(HLOOKUP(Esiehdot!$B$17,Käyttötapauskriteerit!G$1:P156,156,0),1)</f>
        <v>1</v>
      </c>
      <c r="AI156" s="43">
        <f t="shared" si="22"/>
        <v>0</v>
      </c>
      <c r="AJ156" s="43">
        <f t="shared" si="23"/>
        <v>0</v>
      </c>
      <c r="AK156" s="43">
        <f t="shared" si="24"/>
        <v>0</v>
      </c>
      <c r="AL156" s="43">
        <f t="shared" si="25"/>
        <v>0</v>
      </c>
      <c r="AM156" s="43"/>
      <c r="AN156" s="45" t="str">
        <f t="shared" si="26"/>
        <v>Ei ehdoteta hankintaan</v>
      </c>
    </row>
    <row r="157" spans="1:40" ht="125.1">
      <c r="A157" s="5" t="s">
        <v>35</v>
      </c>
      <c r="B157" s="5" t="s">
        <v>499</v>
      </c>
      <c r="C157" s="22" t="s">
        <v>1198</v>
      </c>
      <c r="D157" s="22" t="s">
        <v>1159</v>
      </c>
      <c r="E157" s="17" t="s">
        <v>446</v>
      </c>
      <c r="F157" s="17" t="s">
        <v>406</v>
      </c>
      <c r="G157" s="17"/>
      <c r="H157" s="17"/>
      <c r="I157" s="17"/>
      <c r="J157" s="17" t="s">
        <v>511</v>
      </c>
      <c r="K157" s="17" t="s">
        <v>773</v>
      </c>
      <c r="L157" s="32" t="s">
        <v>1199</v>
      </c>
      <c r="M157" s="61" t="s">
        <v>1200</v>
      </c>
      <c r="N157" s="23" t="s">
        <v>916</v>
      </c>
      <c r="O157" s="23"/>
      <c r="P157" s="9" t="s">
        <v>1201</v>
      </c>
      <c r="Q157" s="9"/>
      <c r="R157" s="9"/>
      <c r="S157" s="9" t="s">
        <v>905</v>
      </c>
      <c r="U157" s="42" t="str">
        <f t="shared" si="18"/>
        <v>TEK-18.7, L:TL III, E:Kriittinen, S:, TS:</v>
      </c>
      <c r="V157" s="42" t="str">
        <f t="shared" si="19"/>
        <v>Katakri: I-18</v>
      </c>
      <c r="W157" s="43">
        <f>IFERROR(VLOOKUP(A157,Esiehdot!A$11:D$15,4,0), 0)</f>
        <v>1</v>
      </c>
      <c r="X157" s="44">
        <f>IF(Esiehdot!D$4&gt;=IFERROR(VLOOKUP(E157,Valintalistat!D$2:H$7,5,0), 99),1,0)</f>
        <v>0</v>
      </c>
      <c r="Y157" s="44">
        <f>IF(Esiehdot!D$5&gt;=IFERROR(VLOOKUP(F157,Valintalistat!E$2:H$5,4,0), 99),1,0)</f>
        <v>0</v>
      </c>
      <c r="Z157" s="44">
        <f>IF(Esiehdot!D$6&gt;=IFERROR(VLOOKUP(G157,Valintalistat!F$2:H$5,3,0),99),1,0)</f>
        <v>0</v>
      </c>
      <c r="AA157" s="44">
        <f>IF(Esiehdot!D$8&gt;=IFERROR(VLOOKUP(H157,Valintalistat!G$2:H$5,2,0),99),1,0)</f>
        <v>0</v>
      </c>
      <c r="AB157" s="43">
        <f t="shared" si="20"/>
        <v>0</v>
      </c>
      <c r="AC157" s="44">
        <f>IF(Esiehdot!E$4=IFERROR(VLOOKUP(E157,Valintalistat!D$2:H$7,5,0),99),1,0)</f>
        <v>0</v>
      </c>
      <c r="AD157" s="44">
        <f>IF(Esiehdot!E$5=IFERROR(VLOOKUP(F157,Valintalistat!E$2:H$5,4,0),99),1,0)</f>
        <v>0</v>
      </c>
      <c r="AE157" s="44">
        <f>IF(Esiehdot!E$6=IFERROR(VLOOKUP(G157,Valintalistat!F$2:H$5,3,0),99),1,0)</f>
        <v>0</v>
      </c>
      <c r="AF157" s="44">
        <f>IF(Esiehdot!E$8=IFERROR(VLOOKUP(H157,Valintalistat!G$2:H$3,2,0),98),1,0)</f>
        <v>0</v>
      </c>
      <c r="AG157" s="43">
        <f t="shared" si="21"/>
        <v>0</v>
      </c>
      <c r="AH157" s="43">
        <f>IFERROR(HLOOKUP(Esiehdot!$B$17,Käyttötapauskriteerit!G$1:P157,157,0),1)</f>
        <v>1</v>
      </c>
      <c r="AI157" s="43">
        <f t="shared" si="22"/>
        <v>0</v>
      </c>
      <c r="AJ157" s="43">
        <f t="shared" si="23"/>
        <v>0</v>
      </c>
      <c r="AK157" s="43">
        <f t="shared" si="24"/>
        <v>0</v>
      </c>
      <c r="AL157" s="43">
        <f t="shared" si="25"/>
        <v>0</v>
      </c>
      <c r="AM157" s="43"/>
      <c r="AN157" s="45" t="str">
        <f t="shared" si="26"/>
        <v>Ei ehdoteta hankintaan</v>
      </c>
    </row>
    <row r="158" spans="1:40" ht="37.5">
      <c r="A158" s="5" t="s">
        <v>35</v>
      </c>
      <c r="B158" s="5" t="s">
        <v>499</v>
      </c>
      <c r="C158" s="22" t="s">
        <v>1202</v>
      </c>
      <c r="D158" s="22" t="s">
        <v>1159</v>
      </c>
      <c r="E158" s="17" t="s">
        <v>571</v>
      </c>
      <c r="F158" s="17"/>
      <c r="G158" s="17"/>
      <c r="H158" s="17"/>
      <c r="I158" s="17"/>
      <c r="J158" s="17" t="s">
        <v>511</v>
      </c>
      <c r="K158" s="17" t="s">
        <v>773</v>
      </c>
      <c r="L158" s="32" t="s">
        <v>1203</v>
      </c>
      <c r="M158" s="61" t="s">
        <v>1204</v>
      </c>
      <c r="N158" s="23" t="s">
        <v>1205</v>
      </c>
      <c r="O158" s="23"/>
      <c r="P158" s="9" t="s">
        <v>1206</v>
      </c>
      <c r="Q158" s="9"/>
      <c r="R158" s="9"/>
      <c r="S158" s="9" t="s">
        <v>905</v>
      </c>
      <c r="U158" s="42" t="str">
        <f t="shared" si="18"/>
        <v>TEK-18.8, L:TL II, E:, S:, TS:</v>
      </c>
      <c r="V158" s="42" t="str">
        <f t="shared" si="19"/>
        <v>Katakri: I-18</v>
      </c>
      <c r="W158" s="43">
        <f>IFERROR(VLOOKUP(A158,Esiehdot!A$11:D$15,4,0), 0)</f>
        <v>1</v>
      </c>
      <c r="X158" s="44">
        <f>IF(Esiehdot!D$4&gt;=IFERROR(VLOOKUP(E158,Valintalistat!D$2:H$7,5,0), 99),1,0)</f>
        <v>0</v>
      </c>
      <c r="Y158" s="44">
        <f>IF(Esiehdot!D$5&gt;=IFERROR(VLOOKUP(F158,Valintalistat!E$2:H$5,4,0), 99),1,0)</f>
        <v>0</v>
      </c>
      <c r="Z158" s="44">
        <f>IF(Esiehdot!D$6&gt;=IFERROR(VLOOKUP(G158,Valintalistat!F$2:H$5,3,0),99),1,0)</f>
        <v>0</v>
      </c>
      <c r="AA158" s="44">
        <f>IF(Esiehdot!D$8&gt;=IFERROR(VLOOKUP(H158,Valintalistat!G$2:H$5,2,0),99),1,0)</f>
        <v>0</v>
      </c>
      <c r="AB158" s="43">
        <f t="shared" si="20"/>
        <v>0</v>
      </c>
      <c r="AC158" s="44">
        <f>IF(Esiehdot!E$4=IFERROR(VLOOKUP(E158,Valintalistat!D$2:H$7,5,0),99),1,0)</f>
        <v>0</v>
      </c>
      <c r="AD158" s="44">
        <f>IF(Esiehdot!E$5=IFERROR(VLOOKUP(F158,Valintalistat!E$2:H$5,4,0),99),1,0)</f>
        <v>0</v>
      </c>
      <c r="AE158" s="44">
        <f>IF(Esiehdot!E$6=IFERROR(VLOOKUP(G158,Valintalistat!F$2:H$5,3,0),99),1,0)</f>
        <v>0</v>
      </c>
      <c r="AF158" s="44">
        <f>IF(Esiehdot!E$8=IFERROR(VLOOKUP(H158,Valintalistat!G$2:H$3,2,0),98),1,0)</f>
        <v>0</v>
      </c>
      <c r="AG158" s="43">
        <f t="shared" si="21"/>
        <v>0</v>
      </c>
      <c r="AH158" s="43">
        <f>IFERROR(HLOOKUP(Esiehdot!$B$17,Käyttötapauskriteerit!G$1:P158,158,0),1)</f>
        <v>1</v>
      </c>
      <c r="AI158" s="43">
        <f t="shared" si="22"/>
        <v>0</v>
      </c>
      <c r="AJ158" s="43">
        <f t="shared" si="23"/>
        <v>0</v>
      </c>
      <c r="AK158" s="43">
        <f t="shared" si="24"/>
        <v>0</v>
      </c>
      <c r="AL158" s="43">
        <f t="shared" si="25"/>
        <v>0</v>
      </c>
      <c r="AM158" s="43"/>
      <c r="AN158" s="45" t="str">
        <f t="shared" si="26"/>
        <v>Ei ehdoteta hankintaan</v>
      </c>
    </row>
    <row r="159" spans="1:40" ht="24.95">
      <c r="A159" s="5" t="s">
        <v>35</v>
      </c>
      <c r="B159" s="5" t="s">
        <v>499</v>
      </c>
      <c r="C159" s="22" t="s">
        <v>1207</v>
      </c>
      <c r="D159" s="22" t="s">
        <v>1159</v>
      </c>
      <c r="E159" s="17" t="s">
        <v>543</v>
      </c>
      <c r="F159" s="17"/>
      <c r="G159" s="17"/>
      <c r="H159" s="17"/>
      <c r="I159" s="17"/>
      <c r="J159" s="17" t="s">
        <v>511</v>
      </c>
      <c r="K159" s="17" t="s">
        <v>773</v>
      </c>
      <c r="L159" s="32" t="s">
        <v>1208</v>
      </c>
      <c r="M159" s="61" t="s">
        <v>721</v>
      </c>
      <c r="N159" s="23" t="s">
        <v>1209</v>
      </c>
      <c r="O159" s="23"/>
      <c r="P159" s="9" t="s">
        <v>1210</v>
      </c>
      <c r="Q159" s="9"/>
      <c r="R159" s="9"/>
      <c r="S159" s="9" t="s">
        <v>905</v>
      </c>
      <c r="U159" s="42" t="str">
        <f t="shared" si="18"/>
        <v>TEK-18.9, L:TL I, E:, S:, TS:</v>
      </c>
      <c r="V159" s="42" t="str">
        <f t="shared" si="19"/>
        <v>Katakri: I-18</v>
      </c>
      <c r="W159" s="43">
        <f>IFERROR(VLOOKUP(A159,Esiehdot!A$11:D$15,4,0), 0)</f>
        <v>1</v>
      </c>
      <c r="X159" s="44">
        <f>IF(Esiehdot!D$4&gt;=IFERROR(VLOOKUP(E159,Valintalistat!D$2:H$7,5,0), 99),1,0)</f>
        <v>0</v>
      </c>
      <c r="Y159" s="44">
        <f>IF(Esiehdot!D$5&gt;=IFERROR(VLOOKUP(F159,Valintalistat!E$2:H$5,4,0), 99),1,0)</f>
        <v>0</v>
      </c>
      <c r="Z159" s="44">
        <f>IF(Esiehdot!D$6&gt;=IFERROR(VLOOKUP(G159,Valintalistat!F$2:H$5,3,0),99),1,0)</f>
        <v>0</v>
      </c>
      <c r="AA159" s="44">
        <f>IF(Esiehdot!D$8&gt;=IFERROR(VLOOKUP(H159,Valintalistat!G$2:H$5,2,0),99),1,0)</f>
        <v>0</v>
      </c>
      <c r="AB159" s="43">
        <f t="shared" si="20"/>
        <v>0</v>
      </c>
      <c r="AC159" s="44">
        <f>IF(Esiehdot!E$4=IFERROR(VLOOKUP(E159,Valintalistat!D$2:H$7,5,0),99),1,0)</f>
        <v>0</v>
      </c>
      <c r="AD159" s="44">
        <f>IF(Esiehdot!E$5=IFERROR(VLOOKUP(F159,Valintalistat!E$2:H$5,4,0),99),1,0)</f>
        <v>0</v>
      </c>
      <c r="AE159" s="44">
        <f>IF(Esiehdot!E$6=IFERROR(VLOOKUP(G159,Valintalistat!F$2:H$5,3,0),99),1,0)</f>
        <v>0</v>
      </c>
      <c r="AF159" s="44">
        <f>IF(Esiehdot!E$8=IFERROR(VLOOKUP(H159,Valintalistat!G$2:H$3,2,0),98),1,0)</f>
        <v>0</v>
      </c>
      <c r="AG159" s="43">
        <f t="shared" si="21"/>
        <v>0</v>
      </c>
      <c r="AH159" s="43">
        <f>IFERROR(HLOOKUP(Esiehdot!$B$17,Käyttötapauskriteerit!G$1:P159,159,0),1)</f>
        <v>1</v>
      </c>
      <c r="AI159" s="43">
        <f t="shared" si="22"/>
        <v>0</v>
      </c>
      <c r="AJ159" s="43">
        <f t="shared" si="23"/>
        <v>0</v>
      </c>
      <c r="AK159" s="43">
        <f t="shared" si="24"/>
        <v>0</v>
      </c>
      <c r="AL159" s="43">
        <f t="shared" si="25"/>
        <v>0</v>
      </c>
      <c r="AM159" s="43"/>
      <c r="AN159" s="45" t="str">
        <f t="shared" si="26"/>
        <v>Ei ehdoteta hankintaan</v>
      </c>
    </row>
    <row r="160" spans="1:40" ht="50.1">
      <c r="A160" s="5" t="s">
        <v>35</v>
      </c>
      <c r="B160" s="5" t="s">
        <v>499</v>
      </c>
      <c r="C160" s="22" t="s">
        <v>1211</v>
      </c>
      <c r="E160" s="17" t="s">
        <v>25</v>
      </c>
      <c r="F160" s="17" t="s">
        <v>27</v>
      </c>
      <c r="G160" s="17" t="s">
        <v>27</v>
      </c>
      <c r="H160" s="17" t="s">
        <v>260</v>
      </c>
      <c r="I160" s="17"/>
      <c r="J160" s="17" t="s">
        <v>511</v>
      </c>
      <c r="K160" s="17" t="s">
        <v>773</v>
      </c>
      <c r="L160" s="32" t="s">
        <v>1212</v>
      </c>
      <c r="M160" s="61" t="s">
        <v>1213</v>
      </c>
      <c r="N160" s="23" t="s">
        <v>1214</v>
      </c>
      <c r="O160" s="23" t="s">
        <v>1215</v>
      </c>
      <c r="P160" s="9" t="s">
        <v>1216</v>
      </c>
      <c r="Q160" s="9" t="s">
        <v>1217</v>
      </c>
      <c r="R160" s="9" t="s">
        <v>1218</v>
      </c>
      <c r="S160" s="9" t="s">
        <v>1219</v>
      </c>
      <c r="U160" s="42" t="str">
        <f t="shared" si="18"/>
        <v>TEK-19, L:Julkinen, E:Vähäinen, S:Vähäinen, TS:Henkilötieto</v>
      </c>
      <c r="V160" s="42" t="str">
        <f t="shared" si="19"/>
        <v>Julkri: HAL-16, HAL-16.1; Katakri: I-19</v>
      </c>
      <c r="W160" s="43">
        <f>IFERROR(VLOOKUP(A160,Esiehdot!A$11:D$15,4,0), 0)</f>
        <v>1</v>
      </c>
      <c r="X160" s="44">
        <f>IF(Esiehdot!D$4&gt;=IFERROR(VLOOKUP(E160,Valintalistat!D$2:H$7,5,0), 99),1,0)</f>
        <v>1</v>
      </c>
      <c r="Y160" s="44">
        <f>IF(Esiehdot!D$5&gt;=IFERROR(VLOOKUP(F160,Valintalistat!E$2:H$5,4,0), 99),1,0)</f>
        <v>1</v>
      </c>
      <c r="Z160" s="44">
        <f>IF(Esiehdot!D$6&gt;=IFERROR(VLOOKUP(G160,Valintalistat!F$2:H$5,3,0),99),1,0)</f>
        <v>1</v>
      </c>
      <c r="AA160" s="44">
        <f>IF(Esiehdot!D$8&gt;=IFERROR(VLOOKUP(H160,Valintalistat!G$2:H$5,2,0),99),1,0)</f>
        <v>0</v>
      </c>
      <c r="AB160" s="43">
        <f t="shared" si="20"/>
        <v>1</v>
      </c>
      <c r="AC160" s="44">
        <f>IF(Esiehdot!E$4=IFERROR(VLOOKUP(E160,Valintalistat!D$2:H$7,5,0),99),1,0)</f>
        <v>0</v>
      </c>
      <c r="AD160" s="44">
        <f>IF(Esiehdot!E$5=IFERROR(VLOOKUP(F160,Valintalistat!E$2:H$5,4,0),99),1,0)</f>
        <v>0</v>
      </c>
      <c r="AE160" s="44">
        <f>IF(Esiehdot!E$6=IFERROR(VLOOKUP(G160,Valintalistat!F$2:H$5,3,0),99),1,0)</f>
        <v>0</v>
      </c>
      <c r="AF160" s="44">
        <f>IF(Esiehdot!E$8=IFERROR(VLOOKUP(H160,Valintalistat!G$2:H$3,2,0),98),1,0)</f>
        <v>0</v>
      </c>
      <c r="AG160" s="43">
        <f t="shared" si="21"/>
        <v>0</v>
      </c>
      <c r="AH160" s="43">
        <f>IFERROR(HLOOKUP(Esiehdot!$B$17,Käyttötapauskriteerit!G$1:P160,160,0),1)</f>
        <v>1</v>
      </c>
      <c r="AI160" s="43">
        <f t="shared" si="22"/>
        <v>1</v>
      </c>
      <c r="AJ160" s="43">
        <f t="shared" si="23"/>
        <v>0</v>
      </c>
      <c r="AK160" s="43">
        <f t="shared" si="24"/>
        <v>0</v>
      </c>
      <c r="AL160" s="43">
        <f t="shared" si="25"/>
        <v>0</v>
      </c>
      <c r="AM160" s="43"/>
      <c r="AN160" s="45" t="str">
        <f t="shared" si="26"/>
        <v>Olennainen</v>
      </c>
    </row>
    <row r="161" spans="1:40" ht="50.1">
      <c r="A161" s="5" t="s">
        <v>35</v>
      </c>
      <c r="B161" s="5" t="s">
        <v>499</v>
      </c>
      <c r="C161" s="22" t="s">
        <v>1220</v>
      </c>
      <c r="D161" s="22" t="s">
        <v>1211</v>
      </c>
      <c r="E161" s="17" t="s">
        <v>554</v>
      </c>
      <c r="F161" s="17" t="s">
        <v>277</v>
      </c>
      <c r="G161" s="17" t="s">
        <v>277</v>
      </c>
      <c r="H161" s="17"/>
      <c r="I161" s="17"/>
      <c r="J161" s="17" t="s">
        <v>511</v>
      </c>
      <c r="K161" s="17" t="s">
        <v>773</v>
      </c>
      <c r="L161" s="32" t="s">
        <v>1221</v>
      </c>
      <c r="M161" s="61" t="s">
        <v>1222</v>
      </c>
      <c r="N161" s="23"/>
      <c r="O161" s="23" t="s">
        <v>1223</v>
      </c>
      <c r="P161" s="9" t="s">
        <v>1224</v>
      </c>
      <c r="Q161" s="9" t="s">
        <v>1217</v>
      </c>
      <c r="R161" s="9"/>
      <c r="S161" s="9" t="s">
        <v>1219</v>
      </c>
      <c r="U161" s="42" t="str">
        <f t="shared" si="18"/>
        <v>TEK-19.1, L:TL IV, E:Tärkeä, S:Tärkeä, TS:</v>
      </c>
      <c r="V161" s="42" t="str">
        <f t="shared" si="19"/>
        <v>Katakri: I-19</v>
      </c>
      <c r="W161" s="43">
        <f>IFERROR(VLOOKUP(A161,Esiehdot!A$11:D$15,4,0), 0)</f>
        <v>1</v>
      </c>
      <c r="X161" s="44">
        <f>IF(Esiehdot!D$4&gt;=IFERROR(VLOOKUP(E161,Valintalistat!D$2:H$7,5,0), 99),1,0)</f>
        <v>0</v>
      </c>
      <c r="Y161" s="44">
        <f>IF(Esiehdot!D$5&gt;=IFERROR(VLOOKUP(F161,Valintalistat!E$2:H$5,4,0), 99),1,0)</f>
        <v>0</v>
      </c>
      <c r="Z161" s="44">
        <f>IF(Esiehdot!D$6&gt;=IFERROR(VLOOKUP(G161,Valintalistat!F$2:H$5,3,0),99),1,0)</f>
        <v>0</v>
      </c>
      <c r="AA161" s="44">
        <f>IF(Esiehdot!D$8&gt;=IFERROR(VLOOKUP(H161,Valintalistat!G$2:H$5,2,0),99),1,0)</f>
        <v>0</v>
      </c>
      <c r="AB161" s="43">
        <f t="shared" si="20"/>
        <v>0</v>
      </c>
      <c r="AC161" s="44">
        <f>IF(Esiehdot!E$4=IFERROR(VLOOKUP(E161,Valintalistat!D$2:H$7,5,0),99),1,0)</f>
        <v>0</v>
      </c>
      <c r="AD161" s="44">
        <f>IF(Esiehdot!E$5=IFERROR(VLOOKUP(F161,Valintalistat!E$2:H$5,4,0),99),1,0)</f>
        <v>0</v>
      </c>
      <c r="AE161" s="44">
        <f>IF(Esiehdot!E$6=IFERROR(VLOOKUP(G161,Valintalistat!F$2:H$5,3,0),99),1,0)</f>
        <v>0</v>
      </c>
      <c r="AF161" s="44">
        <f>IF(Esiehdot!E$8=IFERROR(VLOOKUP(H161,Valintalistat!G$2:H$3,2,0),98),1,0)</f>
        <v>0</v>
      </c>
      <c r="AG161" s="43">
        <f t="shared" si="21"/>
        <v>0</v>
      </c>
      <c r="AH161" s="43">
        <f>IFERROR(HLOOKUP(Esiehdot!$B$17,Käyttötapauskriteerit!G$1:P161,161,0),1)</f>
        <v>1</v>
      </c>
      <c r="AI161" s="43">
        <f t="shared" si="22"/>
        <v>0</v>
      </c>
      <c r="AJ161" s="43">
        <f t="shared" si="23"/>
        <v>0</v>
      </c>
      <c r="AK161" s="43">
        <f t="shared" si="24"/>
        <v>0</v>
      </c>
      <c r="AL161" s="43">
        <f t="shared" si="25"/>
        <v>0</v>
      </c>
      <c r="AM161" s="43"/>
      <c r="AN161" s="45" t="str">
        <f t="shared" si="26"/>
        <v>Ei ehdoteta hankintaan</v>
      </c>
    </row>
    <row r="162" spans="1:40" ht="50.1">
      <c r="A162" s="5" t="s">
        <v>35</v>
      </c>
      <c r="B162" s="5" t="s">
        <v>499</v>
      </c>
      <c r="C162" s="22" t="s">
        <v>1225</v>
      </c>
      <c r="D162" s="22" t="s">
        <v>1211</v>
      </c>
      <c r="E162" s="17" t="s">
        <v>446</v>
      </c>
      <c r="F162" s="17" t="s">
        <v>406</v>
      </c>
      <c r="G162" s="17" t="s">
        <v>406</v>
      </c>
      <c r="H162" s="17"/>
      <c r="I162" s="17"/>
      <c r="J162" s="17" t="s">
        <v>511</v>
      </c>
      <c r="K162" s="17" t="s">
        <v>773</v>
      </c>
      <c r="L162" s="32" t="s">
        <v>1226</v>
      </c>
      <c r="M162" s="61" t="s">
        <v>1227</v>
      </c>
      <c r="N162" s="23"/>
      <c r="O162" s="23" t="s">
        <v>1228</v>
      </c>
      <c r="P162" s="9" t="s">
        <v>1224</v>
      </c>
      <c r="Q162" s="9"/>
      <c r="R162" s="9"/>
      <c r="S162" s="9" t="s">
        <v>1219</v>
      </c>
      <c r="U162" s="42" t="str">
        <f t="shared" si="18"/>
        <v>TEK-19.2, L:TL III, E:Kriittinen, S:Kriittinen, TS:</v>
      </c>
      <c r="V162" s="42" t="str">
        <f t="shared" si="19"/>
        <v>Katakri: I-19</v>
      </c>
      <c r="W162" s="43">
        <f>IFERROR(VLOOKUP(A162,Esiehdot!A$11:D$15,4,0), 0)</f>
        <v>1</v>
      </c>
      <c r="X162" s="44">
        <f>IF(Esiehdot!D$4&gt;=IFERROR(VLOOKUP(E162,Valintalistat!D$2:H$7,5,0), 99),1,0)</f>
        <v>0</v>
      </c>
      <c r="Y162" s="44">
        <f>IF(Esiehdot!D$5&gt;=IFERROR(VLOOKUP(F162,Valintalistat!E$2:H$5,4,0), 99),1,0)</f>
        <v>0</v>
      </c>
      <c r="Z162" s="44">
        <f>IF(Esiehdot!D$6&gt;=IFERROR(VLOOKUP(G162,Valintalistat!F$2:H$5,3,0),99),1,0)</f>
        <v>0</v>
      </c>
      <c r="AA162" s="44">
        <f>IF(Esiehdot!D$8&gt;=IFERROR(VLOOKUP(H162,Valintalistat!G$2:H$5,2,0),99),1,0)</f>
        <v>0</v>
      </c>
      <c r="AB162" s="43">
        <f t="shared" si="20"/>
        <v>0</v>
      </c>
      <c r="AC162" s="44">
        <f>IF(Esiehdot!E$4=IFERROR(VLOOKUP(E162,Valintalistat!D$2:H$7,5,0),99),1,0)</f>
        <v>0</v>
      </c>
      <c r="AD162" s="44">
        <f>IF(Esiehdot!E$5=IFERROR(VLOOKUP(F162,Valintalistat!E$2:H$5,4,0),99),1,0)</f>
        <v>0</v>
      </c>
      <c r="AE162" s="44">
        <f>IF(Esiehdot!E$6=IFERROR(VLOOKUP(G162,Valintalistat!F$2:H$5,3,0),99),1,0)</f>
        <v>0</v>
      </c>
      <c r="AF162" s="44">
        <f>IF(Esiehdot!E$8=IFERROR(VLOOKUP(H162,Valintalistat!G$2:H$3,2,0),98),1,0)</f>
        <v>0</v>
      </c>
      <c r="AG162" s="43">
        <f t="shared" si="21"/>
        <v>0</v>
      </c>
      <c r="AH162" s="43">
        <f>IFERROR(HLOOKUP(Esiehdot!$B$17,Käyttötapauskriteerit!G$1:P162,162,0),1)</f>
        <v>1</v>
      </c>
      <c r="AI162" s="43">
        <f t="shared" si="22"/>
        <v>0</v>
      </c>
      <c r="AJ162" s="43">
        <f t="shared" si="23"/>
        <v>0</v>
      </c>
      <c r="AK162" s="43">
        <f t="shared" si="24"/>
        <v>0</v>
      </c>
      <c r="AL162" s="43">
        <f t="shared" si="25"/>
        <v>0</v>
      </c>
      <c r="AM162" s="43"/>
      <c r="AN162" s="45" t="str">
        <f t="shared" si="26"/>
        <v>Ei ehdoteta hankintaan</v>
      </c>
    </row>
    <row r="163" spans="1:40" ht="50.1">
      <c r="A163" s="5" t="s">
        <v>35</v>
      </c>
      <c r="B163" s="5" t="s">
        <v>499</v>
      </c>
      <c r="C163" s="22" t="s">
        <v>1229</v>
      </c>
      <c r="E163" s="17" t="s">
        <v>25</v>
      </c>
      <c r="F163" s="17" t="s">
        <v>27</v>
      </c>
      <c r="G163" s="17" t="s">
        <v>27</v>
      </c>
      <c r="H163" s="17" t="s">
        <v>260</v>
      </c>
      <c r="I163" s="17"/>
      <c r="J163" s="17" t="s">
        <v>511</v>
      </c>
      <c r="K163" s="17" t="s">
        <v>773</v>
      </c>
      <c r="L163" s="32" t="s">
        <v>1230</v>
      </c>
      <c r="M163" s="61" t="s">
        <v>1231</v>
      </c>
      <c r="N163" s="23" t="s">
        <v>1232</v>
      </c>
      <c r="O163" s="23" t="s">
        <v>1233</v>
      </c>
      <c r="P163" s="9" t="s">
        <v>1234</v>
      </c>
      <c r="Q163" s="9" t="s">
        <v>1235</v>
      </c>
      <c r="R163" s="9" t="s">
        <v>1236</v>
      </c>
      <c r="S163" s="9" t="s">
        <v>1237</v>
      </c>
      <c r="U163" s="42" t="str">
        <f t="shared" si="18"/>
        <v>TEK-20, L:Julkinen, E:Vähäinen, S:Vähäinen, TS:Henkilötieto</v>
      </c>
      <c r="V163" s="42" t="str">
        <f t="shared" si="19"/>
        <v>Julkri: VAR-09; Katakri: I-20</v>
      </c>
      <c r="W163" s="43">
        <f>IFERROR(VLOOKUP(A163,Esiehdot!A$11:D$15,4,0), 0)</f>
        <v>1</v>
      </c>
      <c r="X163" s="44">
        <f>IF(Esiehdot!D$4&gt;=IFERROR(VLOOKUP(E163,Valintalistat!D$2:H$7,5,0), 99),1,0)</f>
        <v>1</v>
      </c>
      <c r="Y163" s="44">
        <f>IF(Esiehdot!D$5&gt;=IFERROR(VLOOKUP(F163,Valintalistat!E$2:H$5,4,0), 99),1,0)</f>
        <v>1</v>
      </c>
      <c r="Z163" s="44">
        <f>IF(Esiehdot!D$6&gt;=IFERROR(VLOOKUP(G163,Valintalistat!F$2:H$5,3,0),99),1,0)</f>
        <v>1</v>
      </c>
      <c r="AA163" s="44">
        <f>IF(Esiehdot!D$8&gt;=IFERROR(VLOOKUP(H163,Valintalistat!G$2:H$5,2,0),99),1,0)</f>
        <v>0</v>
      </c>
      <c r="AB163" s="43">
        <f t="shared" si="20"/>
        <v>1</v>
      </c>
      <c r="AC163" s="44">
        <f>IF(Esiehdot!E$4=IFERROR(VLOOKUP(E163,Valintalistat!D$2:H$7,5,0),99),1,0)</f>
        <v>0</v>
      </c>
      <c r="AD163" s="44">
        <f>IF(Esiehdot!E$5=IFERROR(VLOOKUP(F163,Valintalistat!E$2:H$5,4,0),99),1,0)</f>
        <v>0</v>
      </c>
      <c r="AE163" s="44">
        <f>IF(Esiehdot!E$6=IFERROR(VLOOKUP(G163,Valintalistat!F$2:H$5,3,0),99),1,0)</f>
        <v>0</v>
      </c>
      <c r="AF163" s="44">
        <f>IF(Esiehdot!E$8=IFERROR(VLOOKUP(H163,Valintalistat!G$2:H$3,2,0),98),1,0)</f>
        <v>0</v>
      </c>
      <c r="AG163" s="43">
        <f t="shared" si="21"/>
        <v>0</v>
      </c>
      <c r="AH163" s="43">
        <f>IFERROR(HLOOKUP(Esiehdot!$B$17,Käyttötapauskriteerit!G$1:P163,163,0),1)</f>
        <v>1</v>
      </c>
      <c r="AI163" s="43">
        <f t="shared" si="22"/>
        <v>1</v>
      </c>
      <c r="AJ163" s="43">
        <f t="shared" si="23"/>
        <v>0</v>
      </c>
      <c r="AK163" s="43">
        <f t="shared" si="24"/>
        <v>0</v>
      </c>
      <c r="AL163" s="43">
        <f t="shared" si="25"/>
        <v>0</v>
      </c>
      <c r="AM163" s="43"/>
      <c r="AN163" s="45" t="str">
        <f t="shared" si="26"/>
        <v>Olennainen</v>
      </c>
    </row>
    <row r="164" spans="1:40" ht="24.95">
      <c r="A164" s="5" t="s">
        <v>35</v>
      </c>
      <c r="B164" s="5" t="s">
        <v>499</v>
      </c>
      <c r="C164" s="22" t="s">
        <v>1238</v>
      </c>
      <c r="D164" s="22" t="s">
        <v>1229</v>
      </c>
      <c r="E164" s="17" t="s">
        <v>554</v>
      </c>
      <c r="F164" s="17"/>
      <c r="G164" s="17"/>
      <c r="H164" s="17"/>
      <c r="I164" s="17"/>
      <c r="J164" s="17" t="s">
        <v>511</v>
      </c>
      <c r="K164" s="17" t="s">
        <v>773</v>
      </c>
      <c r="L164" s="32" t="s">
        <v>1239</v>
      </c>
      <c r="M164" s="61" t="s">
        <v>721</v>
      </c>
      <c r="N164" s="23" t="s">
        <v>1240</v>
      </c>
      <c r="O164" s="23" t="s">
        <v>1241</v>
      </c>
      <c r="P164" s="9" t="s">
        <v>1242</v>
      </c>
      <c r="Q164" s="9" t="s">
        <v>1235</v>
      </c>
      <c r="R164" s="9"/>
      <c r="S164" s="9" t="s">
        <v>1243</v>
      </c>
      <c r="U164" s="42" t="str">
        <f t="shared" si="18"/>
        <v>TEK-20.1, L:TL IV, E:, S:, TS:</v>
      </c>
      <c r="V164" s="42" t="str">
        <f t="shared" si="19"/>
        <v>Katakri: I-06, I-20</v>
      </c>
      <c r="W164" s="43">
        <f>IFERROR(VLOOKUP(A164,Esiehdot!A$11:D$15,4,0), 0)</f>
        <v>1</v>
      </c>
      <c r="X164" s="44">
        <f>IF(Esiehdot!D$4&gt;=IFERROR(VLOOKUP(E164,Valintalistat!D$2:H$7,5,0), 99),1,0)</f>
        <v>0</v>
      </c>
      <c r="Y164" s="44">
        <f>IF(Esiehdot!D$5&gt;=IFERROR(VLOOKUP(F164,Valintalistat!E$2:H$5,4,0), 99),1,0)</f>
        <v>0</v>
      </c>
      <c r="Z164" s="44">
        <f>IF(Esiehdot!D$6&gt;=IFERROR(VLOOKUP(G164,Valintalistat!F$2:H$5,3,0),99),1,0)</f>
        <v>0</v>
      </c>
      <c r="AA164" s="44">
        <f>IF(Esiehdot!D$8&gt;=IFERROR(VLOOKUP(H164,Valintalistat!G$2:H$5,2,0),99),1,0)</f>
        <v>0</v>
      </c>
      <c r="AB164" s="43">
        <f t="shared" si="20"/>
        <v>0</v>
      </c>
      <c r="AC164" s="44">
        <f>IF(Esiehdot!E$4=IFERROR(VLOOKUP(E164,Valintalistat!D$2:H$7,5,0),99),1,0)</f>
        <v>0</v>
      </c>
      <c r="AD164" s="44">
        <f>IF(Esiehdot!E$5=IFERROR(VLOOKUP(F164,Valintalistat!E$2:H$5,4,0),99),1,0)</f>
        <v>0</v>
      </c>
      <c r="AE164" s="44">
        <f>IF(Esiehdot!E$6=IFERROR(VLOOKUP(G164,Valintalistat!F$2:H$5,3,0),99),1,0)</f>
        <v>0</v>
      </c>
      <c r="AF164" s="44">
        <f>IF(Esiehdot!E$8=IFERROR(VLOOKUP(H164,Valintalistat!G$2:H$3,2,0),98),1,0)</f>
        <v>0</v>
      </c>
      <c r="AG164" s="43">
        <f t="shared" si="21"/>
        <v>0</v>
      </c>
      <c r="AH164" s="43">
        <f>IFERROR(HLOOKUP(Esiehdot!$B$17,Käyttötapauskriteerit!G$1:P164,164,0),1)</f>
        <v>1</v>
      </c>
      <c r="AI164" s="43">
        <f t="shared" si="22"/>
        <v>0</v>
      </c>
      <c r="AJ164" s="43">
        <f t="shared" si="23"/>
        <v>0</v>
      </c>
      <c r="AK164" s="43">
        <f t="shared" si="24"/>
        <v>0</v>
      </c>
      <c r="AL164" s="43">
        <f t="shared" si="25"/>
        <v>0</v>
      </c>
      <c r="AM164" s="43"/>
      <c r="AN164" s="45" t="str">
        <f t="shared" si="26"/>
        <v>Ei ehdoteta hankintaan</v>
      </c>
    </row>
    <row r="165" spans="1:40" ht="24.95">
      <c r="A165" s="5" t="s">
        <v>35</v>
      </c>
      <c r="B165" s="5" t="s">
        <v>499</v>
      </c>
      <c r="C165" s="22" t="s">
        <v>1244</v>
      </c>
      <c r="D165" s="22" t="s">
        <v>1229</v>
      </c>
      <c r="E165" s="17" t="s">
        <v>446</v>
      </c>
      <c r="F165" s="17"/>
      <c r="G165" s="17"/>
      <c r="H165" s="17"/>
      <c r="I165" s="17"/>
      <c r="J165" s="17" t="s">
        <v>511</v>
      </c>
      <c r="K165" s="17" t="s">
        <v>773</v>
      </c>
      <c r="L165" s="32" t="s">
        <v>1245</v>
      </c>
      <c r="M165" s="61" t="s">
        <v>721</v>
      </c>
      <c r="N165" s="23"/>
      <c r="O165" s="23" t="s">
        <v>1246</v>
      </c>
      <c r="P165" s="9" t="s">
        <v>1247</v>
      </c>
      <c r="Q165" s="9"/>
      <c r="R165" s="9"/>
      <c r="S165" s="9" t="s">
        <v>1248</v>
      </c>
      <c r="U165" s="42" t="str">
        <f t="shared" si="18"/>
        <v>TEK-20.2, L:TL III, E:, S:, TS:</v>
      </c>
      <c r="V165" s="42" t="str">
        <f t="shared" si="19"/>
        <v>Katakri: F-08.3, I-20</v>
      </c>
      <c r="W165" s="43">
        <f>IFERROR(VLOOKUP(A165,Esiehdot!A$11:D$15,4,0), 0)</f>
        <v>1</v>
      </c>
      <c r="X165" s="44">
        <f>IF(Esiehdot!D$4&gt;=IFERROR(VLOOKUP(E165,Valintalistat!D$2:H$7,5,0), 99),1,0)</f>
        <v>0</v>
      </c>
      <c r="Y165" s="44">
        <f>IF(Esiehdot!D$5&gt;=IFERROR(VLOOKUP(F165,Valintalistat!E$2:H$5,4,0), 99),1,0)</f>
        <v>0</v>
      </c>
      <c r="Z165" s="44">
        <f>IF(Esiehdot!D$6&gt;=IFERROR(VLOOKUP(G165,Valintalistat!F$2:H$5,3,0),99),1,0)</f>
        <v>0</v>
      </c>
      <c r="AA165" s="44">
        <f>IF(Esiehdot!D$8&gt;=IFERROR(VLOOKUP(H165,Valintalistat!G$2:H$5,2,0),99),1,0)</f>
        <v>0</v>
      </c>
      <c r="AB165" s="43">
        <f t="shared" si="20"/>
        <v>0</v>
      </c>
      <c r="AC165" s="44">
        <f>IF(Esiehdot!E$4=IFERROR(VLOOKUP(E165,Valintalistat!D$2:H$7,5,0),99),1,0)</f>
        <v>0</v>
      </c>
      <c r="AD165" s="44">
        <f>IF(Esiehdot!E$5=IFERROR(VLOOKUP(F165,Valintalistat!E$2:H$5,4,0),99),1,0)</f>
        <v>0</v>
      </c>
      <c r="AE165" s="44">
        <f>IF(Esiehdot!E$6=IFERROR(VLOOKUP(G165,Valintalistat!F$2:H$5,3,0),99),1,0)</f>
        <v>0</v>
      </c>
      <c r="AF165" s="44">
        <f>IF(Esiehdot!E$8=IFERROR(VLOOKUP(H165,Valintalistat!G$2:H$3,2,0),98),1,0)</f>
        <v>0</v>
      </c>
      <c r="AG165" s="43">
        <f t="shared" si="21"/>
        <v>0</v>
      </c>
      <c r="AH165" s="43">
        <f>IFERROR(HLOOKUP(Esiehdot!$B$17,Käyttötapauskriteerit!G$1:P165,165,0),1)</f>
        <v>1</v>
      </c>
      <c r="AI165" s="43">
        <f t="shared" si="22"/>
        <v>0</v>
      </c>
      <c r="AJ165" s="43">
        <f t="shared" si="23"/>
        <v>0</v>
      </c>
      <c r="AK165" s="43">
        <f t="shared" si="24"/>
        <v>0</v>
      </c>
      <c r="AL165" s="43">
        <f t="shared" si="25"/>
        <v>0</v>
      </c>
      <c r="AM165" s="43"/>
      <c r="AN165" s="45" t="str">
        <f t="shared" si="26"/>
        <v>Ei ehdoteta hankintaan</v>
      </c>
    </row>
    <row r="166" spans="1:40" ht="62.45">
      <c r="A166" s="5" t="s">
        <v>35</v>
      </c>
      <c r="B166" s="5" t="s">
        <v>499</v>
      </c>
      <c r="C166" s="22" t="s">
        <v>757</v>
      </c>
      <c r="E166" s="17" t="s">
        <v>276</v>
      </c>
      <c r="F166" s="17"/>
      <c r="G166" s="17"/>
      <c r="H166" s="17" t="s">
        <v>278</v>
      </c>
      <c r="I166" s="17"/>
      <c r="J166" s="17" t="s">
        <v>511</v>
      </c>
      <c r="K166" s="17" t="s">
        <v>773</v>
      </c>
      <c r="L166" s="32" t="s">
        <v>1249</v>
      </c>
      <c r="M166" s="61" t="s">
        <v>1250</v>
      </c>
      <c r="N166" s="23" t="s">
        <v>1251</v>
      </c>
      <c r="O166" s="23" t="s">
        <v>1252</v>
      </c>
      <c r="P166" s="9" t="s">
        <v>1253</v>
      </c>
      <c r="Q166" s="9" t="s">
        <v>1254</v>
      </c>
      <c r="R166" s="9" t="s">
        <v>1255</v>
      </c>
      <c r="S166" s="9" t="s">
        <v>1256</v>
      </c>
      <c r="U166" s="42" t="str">
        <f t="shared" si="18"/>
        <v>TEK-21, L:Salassa pidettävä, E:, S:, TS:Erityinen henkilötietoryhmä</v>
      </c>
      <c r="V166" s="42" t="str">
        <f t="shared" si="19"/>
        <v>Julkri: FYY-11, FYY-11.1, FYY-11.2, FYY-11.3; Katakri: T-12, F-08.3, F-08.4, I-21</v>
      </c>
      <c r="W166" s="43">
        <f>IFERROR(VLOOKUP(A166,Esiehdot!A$11:D$15,4,0), 0)</f>
        <v>1</v>
      </c>
      <c r="X166" s="44">
        <f>IF(Esiehdot!D$4&gt;=IFERROR(VLOOKUP(E166,Valintalistat!D$2:H$7,5,0), 99),1,0)</f>
        <v>0</v>
      </c>
      <c r="Y166" s="44">
        <f>IF(Esiehdot!D$5&gt;=IFERROR(VLOOKUP(F166,Valintalistat!E$2:H$5,4,0), 99),1,0)</f>
        <v>0</v>
      </c>
      <c r="Z166" s="44">
        <f>IF(Esiehdot!D$6&gt;=IFERROR(VLOOKUP(G166,Valintalistat!F$2:H$5,3,0),99),1,0)</f>
        <v>0</v>
      </c>
      <c r="AA166" s="44">
        <f>IF(Esiehdot!D$8&gt;=IFERROR(VLOOKUP(H166,Valintalistat!G$2:H$5,2,0),99),1,0)</f>
        <v>0</v>
      </c>
      <c r="AB166" s="43">
        <f t="shared" si="20"/>
        <v>0</v>
      </c>
      <c r="AC166" s="44">
        <f>IF(Esiehdot!E$4=IFERROR(VLOOKUP(E166,Valintalistat!D$2:H$7,5,0),99),1,0)</f>
        <v>1</v>
      </c>
      <c r="AD166" s="44">
        <f>IF(Esiehdot!E$5=IFERROR(VLOOKUP(F166,Valintalistat!E$2:H$5,4,0),99),1,0)</f>
        <v>0</v>
      </c>
      <c r="AE166" s="44">
        <f>IF(Esiehdot!E$6=IFERROR(VLOOKUP(G166,Valintalistat!F$2:H$5,3,0),99),1,0)</f>
        <v>0</v>
      </c>
      <c r="AF166" s="44">
        <f>IF(Esiehdot!E$8=IFERROR(VLOOKUP(H166,Valintalistat!G$2:H$3,2,0),98),1,0)</f>
        <v>0</v>
      </c>
      <c r="AG166" s="43">
        <f t="shared" si="21"/>
        <v>1</v>
      </c>
      <c r="AH166" s="43">
        <f>IFERROR(HLOOKUP(Esiehdot!$B$17,Käyttötapauskriteerit!G$1:P166,166,0),1)</f>
        <v>1</v>
      </c>
      <c r="AI166" s="43">
        <f t="shared" si="22"/>
        <v>0</v>
      </c>
      <c r="AJ166" s="43">
        <f t="shared" si="23"/>
        <v>0</v>
      </c>
      <c r="AK166" s="43">
        <f t="shared" si="24"/>
        <v>1</v>
      </c>
      <c r="AL166" s="43">
        <f t="shared" si="25"/>
        <v>0</v>
      </c>
      <c r="AM166" s="43"/>
      <c r="AN166" s="45" t="str">
        <f t="shared" si="26"/>
        <v>Valinnainen</v>
      </c>
    </row>
    <row r="167" spans="1:40" ht="37.5">
      <c r="A167" s="5" t="s">
        <v>35</v>
      </c>
      <c r="B167" s="5" t="s">
        <v>499</v>
      </c>
      <c r="C167" s="22" t="s">
        <v>1257</v>
      </c>
      <c r="D167" s="22" t="s">
        <v>757</v>
      </c>
      <c r="E167" s="17" t="s">
        <v>25</v>
      </c>
      <c r="F167" s="17" t="s">
        <v>27</v>
      </c>
      <c r="G167" s="17" t="s">
        <v>27</v>
      </c>
      <c r="H167" s="17" t="s">
        <v>260</v>
      </c>
      <c r="I167" s="17"/>
      <c r="J167" s="17" t="s">
        <v>781</v>
      </c>
      <c r="K167" s="17" t="s">
        <v>773</v>
      </c>
      <c r="L167" s="32" t="s">
        <v>1258</v>
      </c>
      <c r="M167" s="61" t="s">
        <v>1259</v>
      </c>
      <c r="N167" s="23"/>
      <c r="O167" s="23"/>
      <c r="P167" s="9" t="s">
        <v>1260</v>
      </c>
      <c r="Q167" s="9"/>
      <c r="R167" s="9"/>
      <c r="S167" s="9"/>
      <c r="U167" s="42" t="str">
        <f t="shared" si="18"/>
        <v>TEK-21.1, L:Julkinen, E:Vähäinen, S:Vähäinen, TS:Henkilötieto</v>
      </c>
      <c r="V167" s="42" t="str">
        <f t="shared" si="19"/>
        <v/>
      </c>
      <c r="W167" s="43">
        <f>IFERROR(VLOOKUP(A167,Esiehdot!A$11:D$15,4,0), 0)</f>
        <v>1</v>
      </c>
      <c r="X167" s="44">
        <f>IF(Esiehdot!D$4&gt;=IFERROR(VLOOKUP(E167,Valintalistat!D$2:H$7,5,0), 99),1,0)</f>
        <v>1</v>
      </c>
      <c r="Y167" s="44">
        <f>IF(Esiehdot!D$5&gt;=IFERROR(VLOOKUP(F167,Valintalistat!E$2:H$5,4,0), 99),1,0)</f>
        <v>1</v>
      </c>
      <c r="Z167" s="44">
        <f>IF(Esiehdot!D$6&gt;=IFERROR(VLOOKUP(G167,Valintalistat!F$2:H$5,3,0),99),1,0)</f>
        <v>1</v>
      </c>
      <c r="AA167" s="44">
        <f>IF(Esiehdot!D$8&gt;=IFERROR(VLOOKUP(H167,Valintalistat!G$2:H$5,2,0),99),1,0)</f>
        <v>0</v>
      </c>
      <c r="AB167" s="43">
        <f t="shared" si="20"/>
        <v>1</v>
      </c>
      <c r="AC167" s="44">
        <f>IF(Esiehdot!E$4=IFERROR(VLOOKUP(E167,Valintalistat!D$2:H$7,5,0),99),1,0)</f>
        <v>0</v>
      </c>
      <c r="AD167" s="44">
        <f>IF(Esiehdot!E$5=IFERROR(VLOOKUP(F167,Valintalistat!E$2:H$5,4,0),99),1,0)</f>
        <v>0</v>
      </c>
      <c r="AE167" s="44">
        <f>IF(Esiehdot!E$6=IFERROR(VLOOKUP(G167,Valintalistat!F$2:H$5,3,0),99),1,0)</f>
        <v>0</v>
      </c>
      <c r="AF167" s="44">
        <f>IF(Esiehdot!E$8=IFERROR(VLOOKUP(H167,Valintalistat!G$2:H$3,2,0),98),1,0)</f>
        <v>0</v>
      </c>
      <c r="AG167" s="43">
        <f t="shared" si="21"/>
        <v>0</v>
      </c>
      <c r="AH167" s="43">
        <f>IFERROR(HLOOKUP(Esiehdot!$B$17,Käyttötapauskriteerit!G$1:P167,167,0),1)</f>
        <v>1</v>
      </c>
      <c r="AI167" s="43">
        <f t="shared" si="22"/>
        <v>1</v>
      </c>
      <c r="AJ167" s="43">
        <f t="shared" si="23"/>
        <v>0</v>
      </c>
      <c r="AK167" s="43">
        <f t="shared" si="24"/>
        <v>0</v>
      </c>
      <c r="AL167" s="43">
        <f t="shared" si="25"/>
        <v>0</v>
      </c>
      <c r="AM167" s="43"/>
      <c r="AN167" s="45" t="str">
        <f t="shared" si="26"/>
        <v>Olennainen</v>
      </c>
    </row>
    <row r="168" spans="1:40" ht="24.95">
      <c r="A168" s="5" t="s">
        <v>35</v>
      </c>
      <c r="B168" s="5" t="s">
        <v>499</v>
      </c>
      <c r="C168" s="22" t="s">
        <v>1261</v>
      </c>
      <c r="D168" s="22" t="s">
        <v>757</v>
      </c>
      <c r="E168" s="17" t="s">
        <v>276</v>
      </c>
      <c r="F168" s="17"/>
      <c r="G168" s="17"/>
      <c r="H168" s="17" t="s">
        <v>260</v>
      </c>
      <c r="I168" s="17"/>
      <c r="J168" s="17" t="s">
        <v>781</v>
      </c>
      <c r="K168" s="17" t="s">
        <v>773</v>
      </c>
      <c r="L168" s="32" t="s">
        <v>1262</v>
      </c>
      <c r="M168" s="61" t="s">
        <v>721</v>
      </c>
      <c r="N168" s="23" t="s">
        <v>1263</v>
      </c>
      <c r="O168" s="23"/>
      <c r="P168" s="9" t="s">
        <v>1264</v>
      </c>
      <c r="Q168" s="9" t="s">
        <v>1265</v>
      </c>
      <c r="R168" s="9"/>
      <c r="S168" s="9"/>
      <c r="U168" s="42" t="str">
        <f t="shared" si="18"/>
        <v>TEK-21.2, L:Salassa pidettävä, E:, S:, TS:Henkilötieto</v>
      </c>
      <c r="V168" s="42" t="str">
        <f t="shared" si="19"/>
        <v/>
      </c>
      <c r="W168" s="43">
        <f>IFERROR(VLOOKUP(A168,Esiehdot!A$11:D$15,4,0), 0)</f>
        <v>1</v>
      </c>
      <c r="X168" s="44">
        <f>IF(Esiehdot!D$4&gt;=IFERROR(VLOOKUP(E168,Valintalistat!D$2:H$7,5,0), 99),1,0)</f>
        <v>0</v>
      </c>
      <c r="Y168" s="44">
        <f>IF(Esiehdot!D$5&gt;=IFERROR(VLOOKUP(F168,Valintalistat!E$2:H$5,4,0), 99),1,0)</f>
        <v>0</v>
      </c>
      <c r="Z168" s="44">
        <f>IF(Esiehdot!D$6&gt;=IFERROR(VLOOKUP(G168,Valintalistat!F$2:H$5,3,0),99),1,0)</f>
        <v>0</v>
      </c>
      <c r="AA168" s="44">
        <f>IF(Esiehdot!D$8&gt;=IFERROR(VLOOKUP(H168,Valintalistat!G$2:H$5,2,0),99),1,0)</f>
        <v>0</v>
      </c>
      <c r="AB168" s="43">
        <f t="shared" si="20"/>
        <v>0</v>
      </c>
      <c r="AC168" s="44">
        <f>IF(Esiehdot!E$4=IFERROR(VLOOKUP(E168,Valintalistat!D$2:H$7,5,0),99),1,0)</f>
        <v>1</v>
      </c>
      <c r="AD168" s="44">
        <f>IF(Esiehdot!E$5=IFERROR(VLOOKUP(F168,Valintalistat!E$2:H$5,4,0),99),1,0)</f>
        <v>0</v>
      </c>
      <c r="AE168" s="44">
        <f>IF(Esiehdot!E$6=IFERROR(VLOOKUP(G168,Valintalistat!F$2:H$5,3,0),99),1,0)</f>
        <v>0</v>
      </c>
      <c r="AF168" s="44">
        <f>IF(Esiehdot!E$8=IFERROR(VLOOKUP(H168,Valintalistat!G$2:H$3,2,0),98),1,0)</f>
        <v>0</v>
      </c>
      <c r="AG168" s="43">
        <f t="shared" si="21"/>
        <v>1</v>
      </c>
      <c r="AH168" s="43">
        <f>IFERROR(HLOOKUP(Esiehdot!$B$17,Käyttötapauskriteerit!G$1:P168,168,0),1)</f>
        <v>1</v>
      </c>
      <c r="AI168" s="43">
        <f t="shared" si="22"/>
        <v>0</v>
      </c>
      <c r="AJ168" s="43">
        <f t="shared" si="23"/>
        <v>0</v>
      </c>
      <c r="AK168" s="43">
        <f t="shared" si="24"/>
        <v>1</v>
      </c>
      <c r="AL168" s="43">
        <f t="shared" si="25"/>
        <v>0</v>
      </c>
      <c r="AM168" s="43"/>
      <c r="AN168" s="45" t="str">
        <f t="shared" si="26"/>
        <v>Valinnainen</v>
      </c>
    </row>
    <row r="169" spans="1:40" ht="24.95">
      <c r="A169" s="5" t="s">
        <v>35</v>
      </c>
      <c r="B169" s="5" t="s">
        <v>499</v>
      </c>
      <c r="C169" s="22" t="s">
        <v>1266</v>
      </c>
      <c r="D169" s="22" t="s">
        <v>757</v>
      </c>
      <c r="E169" s="17" t="s">
        <v>554</v>
      </c>
      <c r="F169" s="17"/>
      <c r="G169" s="17"/>
      <c r="H169" s="17"/>
      <c r="I169" s="17"/>
      <c r="J169" s="17" t="s">
        <v>511</v>
      </c>
      <c r="K169" s="17" t="s">
        <v>773</v>
      </c>
      <c r="L169" s="32" t="s">
        <v>1267</v>
      </c>
      <c r="M169" s="61" t="s">
        <v>721</v>
      </c>
      <c r="N169" s="23"/>
      <c r="O169" s="23" t="s">
        <v>1268</v>
      </c>
      <c r="P169" s="9" t="s">
        <v>1253</v>
      </c>
      <c r="Q169" s="9" t="s">
        <v>1269</v>
      </c>
      <c r="R169" s="9" t="s">
        <v>1270</v>
      </c>
      <c r="S169" s="9" t="s">
        <v>1271</v>
      </c>
      <c r="U169" s="42" t="str">
        <f t="shared" si="18"/>
        <v>TEK-21.3, L:TL IV, E:, S:, TS:</v>
      </c>
      <c r="V169" s="42" t="str">
        <f t="shared" si="19"/>
        <v>Julkri: FYY-11.1, FYY-11.2, FYY-11.3; Katakri: I-21</v>
      </c>
      <c r="W169" s="43">
        <f>IFERROR(VLOOKUP(A169,Esiehdot!A$11:D$15,4,0), 0)</f>
        <v>1</v>
      </c>
      <c r="X169" s="44">
        <f>IF(Esiehdot!D$4&gt;=IFERROR(VLOOKUP(E169,Valintalistat!D$2:H$7,5,0), 99),1,0)</f>
        <v>0</v>
      </c>
      <c r="Y169" s="44">
        <f>IF(Esiehdot!D$5&gt;=IFERROR(VLOOKUP(F169,Valintalistat!E$2:H$5,4,0), 99),1,0)</f>
        <v>0</v>
      </c>
      <c r="Z169" s="44">
        <f>IF(Esiehdot!D$6&gt;=IFERROR(VLOOKUP(G169,Valintalistat!F$2:H$5,3,0),99),1,0)</f>
        <v>0</v>
      </c>
      <c r="AA169" s="44">
        <f>IF(Esiehdot!D$8&gt;=IFERROR(VLOOKUP(H169,Valintalistat!G$2:H$5,2,0),99),1,0)</f>
        <v>0</v>
      </c>
      <c r="AB169" s="43">
        <f t="shared" si="20"/>
        <v>0</v>
      </c>
      <c r="AC169" s="44">
        <f>IF(Esiehdot!E$4=IFERROR(VLOOKUP(E169,Valintalistat!D$2:H$7,5,0),99),1,0)</f>
        <v>0</v>
      </c>
      <c r="AD169" s="44">
        <f>IF(Esiehdot!E$5=IFERROR(VLOOKUP(F169,Valintalistat!E$2:H$5,4,0),99),1,0)</f>
        <v>0</v>
      </c>
      <c r="AE169" s="44">
        <f>IF(Esiehdot!E$6=IFERROR(VLOOKUP(G169,Valintalistat!F$2:H$5,3,0),99),1,0)</f>
        <v>0</v>
      </c>
      <c r="AF169" s="44">
        <f>IF(Esiehdot!E$8=IFERROR(VLOOKUP(H169,Valintalistat!G$2:H$3,2,0),98),1,0)</f>
        <v>0</v>
      </c>
      <c r="AG169" s="43">
        <f t="shared" si="21"/>
        <v>0</v>
      </c>
      <c r="AH169" s="43">
        <f>IFERROR(HLOOKUP(Esiehdot!$B$17,Käyttötapauskriteerit!G$1:P169,169,0),1)</f>
        <v>1</v>
      </c>
      <c r="AI169" s="43">
        <f t="shared" si="22"/>
        <v>0</v>
      </c>
      <c r="AJ169" s="43">
        <f t="shared" si="23"/>
        <v>0</v>
      </c>
      <c r="AK169" s="43">
        <f t="shared" si="24"/>
        <v>0</v>
      </c>
      <c r="AL169" s="43">
        <f t="shared" si="25"/>
        <v>0</v>
      </c>
      <c r="AM169" s="43"/>
      <c r="AN169" s="45" t="str">
        <f t="shared" si="26"/>
        <v>Ei ehdoteta hankintaan</v>
      </c>
    </row>
    <row r="170" spans="1:40" ht="62.45">
      <c r="A170" s="5" t="s">
        <v>35</v>
      </c>
      <c r="B170" s="5" t="s">
        <v>499</v>
      </c>
      <c r="C170" s="22" t="s">
        <v>1272</v>
      </c>
      <c r="D170" s="22" t="s">
        <v>757</v>
      </c>
      <c r="E170" s="17" t="s">
        <v>571</v>
      </c>
      <c r="F170" s="17"/>
      <c r="G170" s="17"/>
      <c r="H170" s="17"/>
      <c r="I170" s="17"/>
      <c r="J170" s="17" t="s">
        <v>511</v>
      </c>
      <c r="K170" s="17" t="s">
        <v>773</v>
      </c>
      <c r="L170" s="32" t="s">
        <v>1273</v>
      </c>
      <c r="M170" s="61" t="s">
        <v>1274</v>
      </c>
      <c r="N170" s="23"/>
      <c r="O170" s="23"/>
      <c r="P170" s="9" t="s">
        <v>1275</v>
      </c>
      <c r="Q170" s="9"/>
      <c r="R170" s="9"/>
      <c r="S170" s="9" t="s">
        <v>1271</v>
      </c>
      <c r="U170" s="42" t="str">
        <f t="shared" si="18"/>
        <v>TEK-21.4, L:TL II, E:, S:, TS:</v>
      </c>
      <c r="V170" s="42" t="str">
        <f t="shared" si="19"/>
        <v>Katakri: I-21</v>
      </c>
      <c r="W170" s="43">
        <f>IFERROR(VLOOKUP(A170,Esiehdot!A$11:D$15,4,0), 0)</f>
        <v>1</v>
      </c>
      <c r="X170" s="44">
        <f>IF(Esiehdot!D$4&gt;=IFERROR(VLOOKUP(E170,Valintalistat!D$2:H$7,5,0), 99),1,0)</f>
        <v>0</v>
      </c>
      <c r="Y170" s="44">
        <f>IF(Esiehdot!D$5&gt;=IFERROR(VLOOKUP(F170,Valintalistat!E$2:H$5,4,0), 99),1,0)</f>
        <v>0</v>
      </c>
      <c r="Z170" s="44">
        <f>IF(Esiehdot!D$6&gt;=IFERROR(VLOOKUP(G170,Valintalistat!F$2:H$5,3,0),99),1,0)</f>
        <v>0</v>
      </c>
      <c r="AA170" s="44">
        <f>IF(Esiehdot!D$8&gt;=IFERROR(VLOOKUP(H170,Valintalistat!G$2:H$5,2,0),99),1,0)</f>
        <v>0</v>
      </c>
      <c r="AB170" s="43">
        <f t="shared" si="20"/>
        <v>0</v>
      </c>
      <c r="AC170" s="44">
        <f>IF(Esiehdot!E$4=IFERROR(VLOOKUP(E170,Valintalistat!D$2:H$7,5,0),99),1,0)</f>
        <v>0</v>
      </c>
      <c r="AD170" s="44">
        <f>IF(Esiehdot!E$5=IFERROR(VLOOKUP(F170,Valintalistat!E$2:H$5,4,0),99),1,0)</f>
        <v>0</v>
      </c>
      <c r="AE170" s="44">
        <f>IF(Esiehdot!E$6=IFERROR(VLOOKUP(G170,Valintalistat!F$2:H$5,3,0),99),1,0)</f>
        <v>0</v>
      </c>
      <c r="AF170" s="44">
        <f>IF(Esiehdot!E$8=IFERROR(VLOOKUP(H170,Valintalistat!G$2:H$3,2,0),98),1,0)</f>
        <v>0</v>
      </c>
      <c r="AG170" s="43">
        <f t="shared" si="21"/>
        <v>0</v>
      </c>
      <c r="AH170" s="43">
        <f>IFERROR(HLOOKUP(Esiehdot!$B$17,Käyttötapauskriteerit!G$1:P170,170,0),1)</f>
        <v>1</v>
      </c>
      <c r="AI170" s="43">
        <f t="shared" si="22"/>
        <v>0</v>
      </c>
      <c r="AJ170" s="43">
        <f t="shared" si="23"/>
        <v>0</v>
      </c>
      <c r="AK170" s="43">
        <f t="shared" si="24"/>
        <v>0</v>
      </c>
      <c r="AL170" s="43">
        <f t="shared" si="25"/>
        <v>0</v>
      </c>
      <c r="AM170" s="43"/>
      <c r="AN170" s="45" t="str">
        <f t="shared" si="26"/>
        <v>Ei ehdoteta hankintaan</v>
      </c>
    </row>
    <row r="171" spans="1:40" ht="50.1">
      <c r="A171" s="5" t="s">
        <v>35</v>
      </c>
      <c r="B171" s="5" t="s">
        <v>499</v>
      </c>
      <c r="C171" s="22" t="s">
        <v>1276</v>
      </c>
      <c r="D171" s="22" t="s">
        <v>757</v>
      </c>
      <c r="E171" s="17" t="s">
        <v>571</v>
      </c>
      <c r="F171" s="17"/>
      <c r="G171" s="17"/>
      <c r="H171" s="17"/>
      <c r="I171" s="17"/>
      <c r="J171" s="17" t="s">
        <v>511</v>
      </c>
      <c r="K171" s="17" t="s">
        <v>773</v>
      </c>
      <c r="L171" s="32" t="s">
        <v>1277</v>
      </c>
      <c r="M171" s="61" t="s">
        <v>1278</v>
      </c>
      <c r="N171" s="23"/>
      <c r="O171" s="23"/>
      <c r="P171" s="9" t="s">
        <v>1279</v>
      </c>
      <c r="Q171" s="9"/>
      <c r="R171" s="9"/>
      <c r="S171" s="9" t="s">
        <v>1271</v>
      </c>
      <c r="U171" s="42" t="str">
        <f t="shared" si="18"/>
        <v>TEK-21.5, L:TL II, E:, S:, TS:</v>
      </c>
      <c r="V171" s="42" t="str">
        <f t="shared" si="19"/>
        <v>Katakri: I-21</v>
      </c>
      <c r="W171" s="43">
        <f>IFERROR(VLOOKUP(A171,Esiehdot!A$11:D$15,4,0), 0)</f>
        <v>1</v>
      </c>
      <c r="X171" s="44">
        <f>IF(Esiehdot!D$4&gt;=IFERROR(VLOOKUP(E171,Valintalistat!D$2:H$7,5,0), 99),1,0)</f>
        <v>0</v>
      </c>
      <c r="Y171" s="44">
        <f>IF(Esiehdot!D$5&gt;=IFERROR(VLOOKUP(F171,Valintalistat!E$2:H$5,4,0), 99),1,0)</f>
        <v>0</v>
      </c>
      <c r="Z171" s="44">
        <f>IF(Esiehdot!D$6&gt;=IFERROR(VLOOKUP(G171,Valintalistat!F$2:H$5,3,0),99),1,0)</f>
        <v>0</v>
      </c>
      <c r="AA171" s="44">
        <f>IF(Esiehdot!D$8&gt;=IFERROR(VLOOKUP(H171,Valintalistat!G$2:H$5,2,0),99),1,0)</f>
        <v>0</v>
      </c>
      <c r="AB171" s="43">
        <f t="shared" si="20"/>
        <v>0</v>
      </c>
      <c r="AC171" s="44">
        <f>IF(Esiehdot!E$4=IFERROR(VLOOKUP(E171,Valintalistat!D$2:H$7,5,0),99),1,0)</f>
        <v>0</v>
      </c>
      <c r="AD171" s="44">
        <f>IF(Esiehdot!E$5=IFERROR(VLOOKUP(F171,Valintalistat!E$2:H$5,4,0),99),1,0)</f>
        <v>0</v>
      </c>
      <c r="AE171" s="44">
        <f>IF(Esiehdot!E$6=IFERROR(VLOOKUP(G171,Valintalistat!F$2:H$5,3,0),99),1,0)</f>
        <v>0</v>
      </c>
      <c r="AF171" s="44">
        <f>IF(Esiehdot!E$8=IFERROR(VLOOKUP(H171,Valintalistat!G$2:H$3,2,0),98),1,0)</f>
        <v>0</v>
      </c>
      <c r="AG171" s="43">
        <f t="shared" si="21"/>
        <v>0</v>
      </c>
      <c r="AH171" s="43">
        <f>IFERROR(HLOOKUP(Esiehdot!$B$17,Käyttötapauskriteerit!G$1:P171,171,0),1)</f>
        <v>1</v>
      </c>
      <c r="AI171" s="43">
        <f t="shared" si="22"/>
        <v>0</v>
      </c>
      <c r="AJ171" s="43">
        <f t="shared" si="23"/>
        <v>0</v>
      </c>
      <c r="AK171" s="43">
        <f t="shared" si="24"/>
        <v>0</v>
      </c>
      <c r="AL171" s="43">
        <f t="shared" si="25"/>
        <v>0</v>
      </c>
      <c r="AM171" s="43"/>
      <c r="AN171" s="45" t="str">
        <f t="shared" si="26"/>
        <v>Ei ehdoteta hankintaan</v>
      </c>
    </row>
    <row r="172" spans="1:40" ht="24.95">
      <c r="A172" s="5" t="s">
        <v>35</v>
      </c>
      <c r="B172" s="5" t="s">
        <v>499</v>
      </c>
      <c r="C172" s="22" t="s">
        <v>1280</v>
      </c>
      <c r="D172" s="22" t="s">
        <v>757</v>
      </c>
      <c r="E172" s="17" t="s">
        <v>543</v>
      </c>
      <c r="F172" s="17"/>
      <c r="G172" s="17"/>
      <c r="H172" s="17"/>
      <c r="I172" s="17"/>
      <c r="J172" s="17" t="s">
        <v>511</v>
      </c>
      <c r="K172" s="17" t="s">
        <v>773</v>
      </c>
      <c r="L172" s="32" t="s">
        <v>1281</v>
      </c>
      <c r="M172" s="61" t="s">
        <v>721</v>
      </c>
      <c r="N172" s="23"/>
      <c r="O172" s="23" t="s">
        <v>1282</v>
      </c>
      <c r="P172" s="9" t="s">
        <v>770</v>
      </c>
      <c r="Q172" s="9"/>
      <c r="R172" s="9"/>
      <c r="S172" s="9" t="s">
        <v>1271</v>
      </c>
      <c r="U172" s="42" t="str">
        <f t="shared" si="18"/>
        <v>TEK-21.6, L:TL I, E:, S:, TS:</v>
      </c>
      <c r="V172" s="42" t="str">
        <f t="shared" si="19"/>
        <v>Katakri: I-21</v>
      </c>
      <c r="W172" s="43">
        <f>IFERROR(VLOOKUP(A172,Esiehdot!A$11:D$15,4,0), 0)</f>
        <v>1</v>
      </c>
      <c r="X172" s="44">
        <f>IF(Esiehdot!D$4&gt;=IFERROR(VLOOKUP(E172,Valintalistat!D$2:H$7,5,0), 99),1,0)</f>
        <v>0</v>
      </c>
      <c r="Y172" s="44">
        <f>IF(Esiehdot!D$5&gt;=IFERROR(VLOOKUP(F172,Valintalistat!E$2:H$5,4,0), 99),1,0)</f>
        <v>0</v>
      </c>
      <c r="Z172" s="44">
        <f>IF(Esiehdot!D$6&gt;=IFERROR(VLOOKUP(G172,Valintalistat!F$2:H$5,3,0),99),1,0)</f>
        <v>0</v>
      </c>
      <c r="AA172" s="44">
        <f>IF(Esiehdot!D$8&gt;=IFERROR(VLOOKUP(H172,Valintalistat!G$2:H$5,2,0),99),1,0)</f>
        <v>0</v>
      </c>
      <c r="AB172" s="43">
        <f t="shared" si="20"/>
        <v>0</v>
      </c>
      <c r="AC172" s="44">
        <f>IF(Esiehdot!E$4=IFERROR(VLOOKUP(E172,Valintalistat!D$2:H$7,5,0),99),1,0)</f>
        <v>0</v>
      </c>
      <c r="AD172" s="44">
        <f>IF(Esiehdot!E$5=IFERROR(VLOOKUP(F172,Valintalistat!E$2:H$5,4,0),99),1,0)</f>
        <v>0</v>
      </c>
      <c r="AE172" s="44">
        <f>IF(Esiehdot!E$6=IFERROR(VLOOKUP(G172,Valintalistat!F$2:H$5,3,0),99),1,0)</f>
        <v>0</v>
      </c>
      <c r="AF172" s="44">
        <f>IF(Esiehdot!E$8=IFERROR(VLOOKUP(H172,Valintalistat!G$2:H$3,2,0),98),1,0)</f>
        <v>0</v>
      </c>
      <c r="AG172" s="43">
        <f t="shared" si="21"/>
        <v>0</v>
      </c>
      <c r="AH172" s="43">
        <f>IFERROR(HLOOKUP(Esiehdot!$B$17,Käyttötapauskriteerit!G$1:P172,172,0),1)</f>
        <v>1</v>
      </c>
      <c r="AI172" s="43">
        <f t="shared" si="22"/>
        <v>0</v>
      </c>
      <c r="AJ172" s="43">
        <f t="shared" si="23"/>
        <v>0</v>
      </c>
      <c r="AK172" s="43">
        <f t="shared" si="24"/>
        <v>0</v>
      </c>
      <c r="AL172" s="43">
        <f t="shared" si="25"/>
        <v>0</v>
      </c>
      <c r="AM172" s="43"/>
      <c r="AN172" s="45" t="str">
        <f t="shared" si="26"/>
        <v>Ei ehdoteta hankintaan</v>
      </c>
    </row>
    <row r="173" spans="1:40" ht="37.5">
      <c r="A173" s="5" t="s">
        <v>35</v>
      </c>
      <c r="B173" s="5" t="s">
        <v>499</v>
      </c>
      <c r="C173" s="22" t="s">
        <v>1283</v>
      </c>
      <c r="E173" s="17"/>
      <c r="F173" s="17"/>
      <c r="G173" s="17" t="s">
        <v>964</v>
      </c>
      <c r="H173" s="17"/>
      <c r="I173" s="17"/>
      <c r="J173" s="17" t="s">
        <v>781</v>
      </c>
      <c r="K173" s="17" t="s">
        <v>773</v>
      </c>
      <c r="L173" s="32" t="s">
        <v>1284</v>
      </c>
      <c r="M173" s="61" t="s">
        <v>1285</v>
      </c>
      <c r="N173" s="23" t="s">
        <v>1286</v>
      </c>
      <c r="O173" s="23" t="s">
        <v>1287</v>
      </c>
      <c r="P173" s="9" t="s">
        <v>1288</v>
      </c>
      <c r="Q173" s="9" t="s">
        <v>1289</v>
      </c>
      <c r="R173" s="9" t="s">
        <v>1290</v>
      </c>
      <c r="S173" s="9"/>
      <c r="U173" s="42" t="str">
        <f t="shared" si="18"/>
        <v>TEK-22, L:, E:, S:Normaali, TS:</v>
      </c>
      <c r="V173" s="42" t="str">
        <f t="shared" si="19"/>
        <v>Julkri: VAR-02</v>
      </c>
      <c r="W173" s="43">
        <f>IFERROR(VLOOKUP(A173,Esiehdot!A$11:D$15,4,0), 0)</f>
        <v>1</v>
      </c>
      <c r="X173" s="44">
        <f>IF(Esiehdot!D$4&gt;=IFERROR(VLOOKUP(E173,Valintalistat!D$2:H$7,5,0), 99),1,0)</f>
        <v>0</v>
      </c>
      <c r="Y173" s="44">
        <f>IF(Esiehdot!D$5&gt;=IFERROR(VLOOKUP(F173,Valintalistat!E$2:H$5,4,0), 99),1,0)</f>
        <v>0</v>
      </c>
      <c r="Z173" s="44">
        <f>IF(Esiehdot!D$6&gt;=IFERROR(VLOOKUP(G173,Valintalistat!F$2:H$5,3,0),99),1,0)</f>
        <v>0</v>
      </c>
      <c r="AA173" s="44">
        <f>IF(Esiehdot!D$8&gt;=IFERROR(VLOOKUP(H173,Valintalistat!G$2:H$5,2,0),99),1,0)</f>
        <v>0</v>
      </c>
      <c r="AB173" s="43">
        <f t="shared" si="20"/>
        <v>0</v>
      </c>
      <c r="AC173" s="44">
        <f>IF(Esiehdot!E$4=IFERROR(VLOOKUP(E173,Valintalistat!D$2:H$7,5,0),99),1,0)</f>
        <v>0</v>
      </c>
      <c r="AD173" s="44">
        <f>IF(Esiehdot!E$5=IFERROR(VLOOKUP(F173,Valintalistat!E$2:H$5,4,0),99),1,0)</f>
        <v>0</v>
      </c>
      <c r="AE173" s="44">
        <f>IF(Esiehdot!E$6=IFERROR(VLOOKUP(G173,Valintalistat!F$2:H$5,3,0),99),1,0)</f>
        <v>1</v>
      </c>
      <c r="AF173" s="44">
        <f>IF(Esiehdot!E$8=IFERROR(VLOOKUP(H173,Valintalistat!G$2:H$3,2,0),98),1,0)</f>
        <v>0</v>
      </c>
      <c r="AG173" s="43">
        <f t="shared" si="21"/>
        <v>1</v>
      </c>
      <c r="AH173" s="43">
        <f>IFERROR(HLOOKUP(Esiehdot!$B$17,Käyttötapauskriteerit!G$1:P173,173,0),1)</f>
        <v>1</v>
      </c>
      <c r="AI173" s="43">
        <f t="shared" si="22"/>
        <v>0</v>
      </c>
      <c r="AJ173" s="43">
        <f t="shared" si="23"/>
        <v>0</v>
      </c>
      <c r="AK173" s="43">
        <f t="shared" si="24"/>
        <v>1</v>
      </c>
      <c r="AL173" s="43">
        <f t="shared" si="25"/>
        <v>0</v>
      </c>
      <c r="AM173" s="43"/>
      <c r="AN173" s="45" t="str">
        <f t="shared" si="26"/>
        <v>Valinnainen</v>
      </c>
    </row>
    <row r="174" spans="1:40" ht="37.5">
      <c r="A174" s="5" t="s">
        <v>35</v>
      </c>
      <c r="B174" s="5" t="s">
        <v>499</v>
      </c>
      <c r="C174" s="22" t="s">
        <v>1291</v>
      </c>
      <c r="D174" s="22" t="s">
        <v>1283</v>
      </c>
      <c r="E174" s="17"/>
      <c r="F174" s="17"/>
      <c r="G174" s="17" t="s">
        <v>964</v>
      </c>
      <c r="H174" s="17"/>
      <c r="I174" s="17"/>
      <c r="J174" s="17" t="s">
        <v>781</v>
      </c>
      <c r="K174" s="17" t="s">
        <v>773</v>
      </c>
      <c r="L174" s="32" t="s">
        <v>1292</v>
      </c>
      <c r="M174" s="61" t="s">
        <v>1293</v>
      </c>
      <c r="N174" s="23"/>
      <c r="O174" s="23" t="s">
        <v>1294</v>
      </c>
      <c r="P174" s="9" t="s">
        <v>1295</v>
      </c>
      <c r="Q174" s="9" t="s">
        <v>1296</v>
      </c>
      <c r="R174" s="9" t="s">
        <v>1297</v>
      </c>
      <c r="S174" s="9"/>
      <c r="U174" s="42" t="str">
        <f t="shared" si="18"/>
        <v>TEK-22.1, L:, E:, S:Normaali, TS:</v>
      </c>
      <c r="V174" s="42" t="str">
        <f t="shared" si="19"/>
        <v>Julkri: VAR-02, VAR-06, VAR-07, VAR-08</v>
      </c>
      <c r="W174" s="43">
        <f>IFERROR(VLOOKUP(A174,Esiehdot!A$11:D$15,4,0), 0)</f>
        <v>1</v>
      </c>
      <c r="X174" s="44">
        <f>IF(Esiehdot!D$4&gt;=IFERROR(VLOOKUP(E174,Valintalistat!D$2:H$7,5,0), 99),1,0)</f>
        <v>0</v>
      </c>
      <c r="Y174" s="44">
        <f>IF(Esiehdot!D$5&gt;=IFERROR(VLOOKUP(F174,Valintalistat!E$2:H$5,4,0), 99),1,0)</f>
        <v>0</v>
      </c>
      <c r="Z174" s="44">
        <f>IF(Esiehdot!D$6&gt;=IFERROR(VLOOKUP(G174,Valintalistat!F$2:H$5,3,0),99),1,0)</f>
        <v>0</v>
      </c>
      <c r="AA174" s="44">
        <f>IF(Esiehdot!D$8&gt;=IFERROR(VLOOKUP(H174,Valintalistat!G$2:H$5,2,0),99),1,0)</f>
        <v>0</v>
      </c>
      <c r="AB174" s="43">
        <f t="shared" si="20"/>
        <v>0</v>
      </c>
      <c r="AC174" s="44">
        <f>IF(Esiehdot!E$4=IFERROR(VLOOKUP(E174,Valintalistat!D$2:H$7,5,0),99),1,0)</f>
        <v>0</v>
      </c>
      <c r="AD174" s="44">
        <f>IF(Esiehdot!E$5=IFERROR(VLOOKUP(F174,Valintalistat!E$2:H$5,4,0),99),1,0)</f>
        <v>0</v>
      </c>
      <c r="AE174" s="44">
        <f>IF(Esiehdot!E$6=IFERROR(VLOOKUP(G174,Valintalistat!F$2:H$5,3,0),99),1,0)</f>
        <v>1</v>
      </c>
      <c r="AF174" s="44">
        <f>IF(Esiehdot!E$8=IFERROR(VLOOKUP(H174,Valintalistat!G$2:H$3,2,0),98),1,0)</f>
        <v>0</v>
      </c>
      <c r="AG174" s="43">
        <f t="shared" si="21"/>
        <v>1</v>
      </c>
      <c r="AH174" s="43">
        <f>IFERROR(HLOOKUP(Esiehdot!$B$17,Käyttötapauskriteerit!G$1:P174,174,0),1)</f>
        <v>1</v>
      </c>
      <c r="AI174" s="43">
        <f t="shared" si="22"/>
        <v>0</v>
      </c>
      <c r="AJ174" s="43">
        <f t="shared" si="23"/>
        <v>0</v>
      </c>
      <c r="AK174" s="43">
        <f t="shared" si="24"/>
        <v>1</v>
      </c>
      <c r="AL174" s="43">
        <f t="shared" si="25"/>
        <v>0</v>
      </c>
      <c r="AM174" s="43"/>
      <c r="AN174" s="45" t="str">
        <f t="shared" si="26"/>
        <v>Valinnainen</v>
      </c>
    </row>
    <row r="175" spans="1:40" ht="37.5">
      <c r="A175" s="5" t="s">
        <v>35</v>
      </c>
      <c r="B175" s="5" t="s">
        <v>499</v>
      </c>
      <c r="C175" s="22" t="s">
        <v>1298</v>
      </c>
      <c r="D175" s="22" t="s">
        <v>1283</v>
      </c>
      <c r="E175" s="17"/>
      <c r="F175" s="17"/>
      <c r="G175" s="17" t="s">
        <v>964</v>
      </c>
      <c r="H175" s="17"/>
      <c r="I175" s="17"/>
      <c r="J175" s="17" t="s">
        <v>781</v>
      </c>
      <c r="K175" s="17" t="s">
        <v>773</v>
      </c>
      <c r="L175" s="32" t="s">
        <v>1299</v>
      </c>
      <c r="M175" s="61" t="s">
        <v>1300</v>
      </c>
      <c r="N175" s="23"/>
      <c r="O175" s="23" t="s">
        <v>1301</v>
      </c>
      <c r="P175" s="9" t="s">
        <v>1295</v>
      </c>
      <c r="Q175" s="9" t="s">
        <v>1302</v>
      </c>
      <c r="R175" s="9" t="s">
        <v>362</v>
      </c>
      <c r="S175" s="9"/>
      <c r="U175" s="42" t="str">
        <f t="shared" si="18"/>
        <v>TEK-22.2, L:, E:, S:Normaali, TS:</v>
      </c>
      <c r="V175" s="42" t="str">
        <f t="shared" si="19"/>
        <v>Julkri: HAL-07</v>
      </c>
      <c r="W175" s="43">
        <f>IFERROR(VLOOKUP(A175,Esiehdot!A$11:D$15,4,0), 0)</f>
        <v>1</v>
      </c>
      <c r="X175" s="44">
        <f>IF(Esiehdot!D$4&gt;=IFERROR(VLOOKUP(E175,Valintalistat!D$2:H$7,5,0), 99),1,0)</f>
        <v>0</v>
      </c>
      <c r="Y175" s="44">
        <f>IF(Esiehdot!D$5&gt;=IFERROR(VLOOKUP(F175,Valintalistat!E$2:H$5,4,0), 99),1,0)</f>
        <v>0</v>
      </c>
      <c r="Z175" s="44">
        <f>IF(Esiehdot!D$6&gt;=IFERROR(VLOOKUP(G175,Valintalistat!F$2:H$5,3,0),99),1,0)</f>
        <v>0</v>
      </c>
      <c r="AA175" s="44">
        <f>IF(Esiehdot!D$8&gt;=IFERROR(VLOOKUP(H175,Valintalistat!G$2:H$5,2,0),99),1,0)</f>
        <v>0</v>
      </c>
      <c r="AB175" s="43">
        <f t="shared" si="20"/>
        <v>0</v>
      </c>
      <c r="AC175" s="44">
        <f>IF(Esiehdot!E$4=IFERROR(VLOOKUP(E175,Valintalistat!D$2:H$7,5,0),99),1,0)</f>
        <v>0</v>
      </c>
      <c r="AD175" s="44">
        <f>IF(Esiehdot!E$5=IFERROR(VLOOKUP(F175,Valintalistat!E$2:H$5,4,0),99),1,0)</f>
        <v>0</v>
      </c>
      <c r="AE175" s="44">
        <f>IF(Esiehdot!E$6=IFERROR(VLOOKUP(G175,Valintalistat!F$2:H$5,3,0),99),1,0)</f>
        <v>1</v>
      </c>
      <c r="AF175" s="44">
        <f>IF(Esiehdot!E$8=IFERROR(VLOOKUP(H175,Valintalistat!G$2:H$3,2,0),98),1,0)</f>
        <v>0</v>
      </c>
      <c r="AG175" s="43">
        <f t="shared" si="21"/>
        <v>1</v>
      </c>
      <c r="AH175" s="43">
        <f>IFERROR(HLOOKUP(Esiehdot!$B$17,Käyttötapauskriteerit!G$1:P175,175,0),1)</f>
        <v>1</v>
      </c>
      <c r="AI175" s="43">
        <f t="shared" si="22"/>
        <v>0</v>
      </c>
      <c r="AJ175" s="43">
        <f t="shared" si="23"/>
        <v>0</v>
      </c>
      <c r="AK175" s="43">
        <f t="shared" si="24"/>
        <v>1</v>
      </c>
      <c r="AL175" s="43">
        <f t="shared" si="25"/>
        <v>0</v>
      </c>
      <c r="AM175" s="43"/>
      <c r="AN175" s="45" t="str">
        <f t="shared" si="26"/>
        <v>Valinnainen</v>
      </c>
    </row>
    <row r="176" spans="1:40" ht="50.1">
      <c r="A176" s="5" t="s">
        <v>35</v>
      </c>
      <c r="B176" s="5" t="s">
        <v>499</v>
      </c>
      <c r="C176" s="22" t="s">
        <v>1303</v>
      </c>
      <c r="E176" s="17"/>
      <c r="F176" s="17" t="s">
        <v>277</v>
      </c>
      <c r="G176" s="17" t="s">
        <v>277</v>
      </c>
      <c r="H176" s="17"/>
      <c r="I176" s="17"/>
      <c r="J176" s="17" t="s">
        <v>781</v>
      </c>
      <c r="K176" s="17" t="s">
        <v>773</v>
      </c>
      <c r="L176" s="32" t="s">
        <v>1304</v>
      </c>
      <c r="M176" s="61" t="s">
        <v>1305</v>
      </c>
      <c r="N176" s="23" t="s">
        <v>1306</v>
      </c>
      <c r="O176" s="23" t="s">
        <v>1307</v>
      </c>
      <c r="P176" s="9" t="s">
        <v>1308</v>
      </c>
      <c r="Q176" s="9"/>
      <c r="R176" s="9" t="s">
        <v>1309</v>
      </c>
      <c r="S176" s="9"/>
      <c r="U176" s="42" t="str">
        <f t="shared" si="18"/>
        <v>TEK-23, L:, E:Tärkeä, S:Tärkeä, TS:</v>
      </c>
      <c r="V176" s="42" t="str">
        <f t="shared" si="19"/>
        <v>Julkri: HAL-17, HAL-17.1</v>
      </c>
      <c r="W176" s="43">
        <f>IFERROR(VLOOKUP(A176,Esiehdot!A$11:D$15,4,0), 0)</f>
        <v>1</v>
      </c>
      <c r="X176" s="44">
        <f>IF(Esiehdot!D$4&gt;=IFERROR(VLOOKUP(E176,Valintalistat!D$2:H$7,5,0), 99),1,0)</f>
        <v>0</v>
      </c>
      <c r="Y176" s="44">
        <f>IF(Esiehdot!D$5&gt;=IFERROR(VLOOKUP(F176,Valintalistat!E$2:H$5,4,0), 99),1,0)</f>
        <v>0</v>
      </c>
      <c r="Z176" s="44">
        <f>IF(Esiehdot!D$6&gt;=IFERROR(VLOOKUP(G176,Valintalistat!F$2:H$5,3,0),99),1,0)</f>
        <v>0</v>
      </c>
      <c r="AA176" s="44">
        <f>IF(Esiehdot!D$8&gt;=IFERROR(VLOOKUP(H176,Valintalistat!G$2:H$5,2,0),99),1,0)</f>
        <v>0</v>
      </c>
      <c r="AB176" s="43">
        <f t="shared" si="20"/>
        <v>0</v>
      </c>
      <c r="AC176" s="44">
        <f>IF(Esiehdot!E$4=IFERROR(VLOOKUP(E176,Valintalistat!D$2:H$7,5,0),99),1,0)</f>
        <v>0</v>
      </c>
      <c r="AD176" s="44">
        <f>IF(Esiehdot!E$5=IFERROR(VLOOKUP(F176,Valintalistat!E$2:H$5,4,0),99),1,0)</f>
        <v>0</v>
      </c>
      <c r="AE176" s="44">
        <f>IF(Esiehdot!E$6=IFERROR(VLOOKUP(G176,Valintalistat!F$2:H$5,3,0),99),1,0)</f>
        <v>0</v>
      </c>
      <c r="AF176" s="44">
        <f>IF(Esiehdot!E$8=IFERROR(VLOOKUP(H176,Valintalistat!G$2:H$3,2,0),98),1,0)</f>
        <v>0</v>
      </c>
      <c r="AG176" s="43">
        <f t="shared" si="21"/>
        <v>0</v>
      </c>
      <c r="AH176" s="43">
        <f>IFERROR(HLOOKUP(Esiehdot!$B$17,Käyttötapauskriteerit!G$1:P176,176,0),1)</f>
        <v>1</v>
      </c>
      <c r="AI176" s="43">
        <f t="shared" si="22"/>
        <v>0</v>
      </c>
      <c r="AJ176" s="43">
        <f t="shared" si="23"/>
        <v>0</v>
      </c>
      <c r="AK176" s="43">
        <f t="shared" si="24"/>
        <v>0</v>
      </c>
      <c r="AL176" s="43">
        <f t="shared" si="25"/>
        <v>0</v>
      </c>
      <c r="AM176" s="43"/>
      <c r="AN176" s="45" t="str">
        <f t="shared" si="26"/>
        <v>Ei ehdoteta hankintaan</v>
      </c>
    </row>
    <row r="177" spans="1:40 16325:16383" ht="62.45">
      <c r="A177" s="5" t="s">
        <v>37</v>
      </c>
      <c r="B177" s="5" t="s">
        <v>1310</v>
      </c>
      <c r="C177" s="22" t="s">
        <v>1311</v>
      </c>
      <c r="E177" s="17" t="s">
        <v>25</v>
      </c>
      <c r="F177" s="17" t="s">
        <v>27</v>
      </c>
      <c r="G177" s="17" t="s">
        <v>27</v>
      </c>
      <c r="H177" s="17" t="s">
        <v>260</v>
      </c>
      <c r="I177" s="17"/>
      <c r="J177" s="17"/>
      <c r="K177" s="17" t="s">
        <v>512</v>
      </c>
      <c r="L177" s="32" t="s">
        <v>1312</v>
      </c>
      <c r="M177" s="61" t="s">
        <v>1313</v>
      </c>
      <c r="N177" s="23" t="s">
        <v>1314</v>
      </c>
      <c r="O177" s="23" t="s">
        <v>1315</v>
      </c>
      <c r="P177" s="9" t="s">
        <v>1316</v>
      </c>
      <c r="Q177" s="9" t="s">
        <v>1317</v>
      </c>
      <c r="R177" s="9" t="s">
        <v>329</v>
      </c>
      <c r="S177" s="9"/>
      <c r="U177" s="42" t="str">
        <f t="shared" si="18"/>
        <v>VAR-01, L:Julkinen, E:Vähäinen, S:Vähäinen, TS:Henkilötieto</v>
      </c>
      <c r="V177" s="42" t="str">
        <f t="shared" si="19"/>
        <v>Julkri: HAL-05</v>
      </c>
      <c r="W177" s="43">
        <f>IFERROR(VLOOKUP(A177,Esiehdot!A$11:D$15,4,0), 0)</f>
        <v>1</v>
      </c>
      <c r="X177" s="44">
        <f>IF(Esiehdot!D$4&gt;=IFERROR(VLOOKUP(E177,Valintalistat!D$2:H$7,5,0), 99),1,0)</f>
        <v>1</v>
      </c>
      <c r="Y177" s="44">
        <f>IF(Esiehdot!D$5&gt;=IFERROR(VLOOKUP(F177,Valintalistat!E$2:H$5,4,0), 99),1,0)</f>
        <v>1</v>
      </c>
      <c r="Z177" s="44">
        <f>IF(Esiehdot!D$6&gt;=IFERROR(VLOOKUP(G177,Valintalistat!F$2:H$5,3,0),99),1,0)</f>
        <v>1</v>
      </c>
      <c r="AA177" s="44">
        <f>IF(Esiehdot!D$8&gt;=IFERROR(VLOOKUP(H177,Valintalistat!G$2:H$5,2,0),99),1,0)</f>
        <v>0</v>
      </c>
      <c r="AB177" s="43">
        <f t="shared" si="20"/>
        <v>1</v>
      </c>
      <c r="AC177" s="44">
        <f>IF(Esiehdot!E$4=IFERROR(VLOOKUP(E177,Valintalistat!D$2:H$7,5,0),99),1,0)</f>
        <v>0</v>
      </c>
      <c r="AD177" s="44">
        <f>IF(Esiehdot!E$5=IFERROR(VLOOKUP(F177,Valintalistat!E$2:H$5,4,0),99),1,0)</f>
        <v>0</v>
      </c>
      <c r="AE177" s="44">
        <f>IF(Esiehdot!E$6=IFERROR(VLOOKUP(G177,Valintalistat!F$2:H$5,3,0),99),1,0)</f>
        <v>0</v>
      </c>
      <c r="AF177" s="44">
        <f>IF(Esiehdot!E$8=IFERROR(VLOOKUP(H177,Valintalistat!G$2:H$3,2,0),98),1,0)</f>
        <v>0</v>
      </c>
      <c r="AG177" s="43">
        <f t="shared" si="21"/>
        <v>0</v>
      </c>
      <c r="AH177" s="43">
        <f>IFERROR(HLOOKUP(Esiehdot!$B$17,Käyttötapauskriteerit!G$1:P177,177,0),1)</f>
        <v>1</v>
      </c>
      <c r="AI177" s="43">
        <f t="shared" si="22"/>
        <v>1</v>
      </c>
      <c r="AJ177" s="43">
        <f t="shared" si="23"/>
        <v>0</v>
      </c>
      <c r="AK177" s="43">
        <f t="shared" si="24"/>
        <v>0</v>
      </c>
      <c r="AL177" s="43">
        <f t="shared" si="25"/>
        <v>0</v>
      </c>
      <c r="AM177" s="43"/>
      <c r="AN177" s="45" t="str">
        <f t="shared" si="26"/>
        <v>Olennainen</v>
      </c>
    </row>
    <row r="178" spans="1:40 16325:16383" ht="37.5">
      <c r="A178" s="5" t="s">
        <v>37</v>
      </c>
      <c r="B178" s="5" t="s">
        <v>1310</v>
      </c>
      <c r="C178" s="22" t="s">
        <v>1290</v>
      </c>
      <c r="E178" s="17" t="s">
        <v>25</v>
      </c>
      <c r="F178" s="17" t="s">
        <v>27</v>
      </c>
      <c r="G178" s="17" t="s">
        <v>27</v>
      </c>
      <c r="H178" s="17" t="s">
        <v>260</v>
      </c>
      <c r="I178" s="17"/>
      <c r="J178" s="17"/>
      <c r="K178" s="17" t="s">
        <v>512</v>
      </c>
      <c r="L178" s="32" t="s">
        <v>1318</v>
      </c>
      <c r="M178" s="61" t="s">
        <v>1319</v>
      </c>
      <c r="N178" s="23" t="s">
        <v>1320</v>
      </c>
      <c r="O178" s="23" t="s">
        <v>1321</v>
      </c>
      <c r="P178" s="9" t="s">
        <v>1322</v>
      </c>
      <c r="Q178" s="9" t="s">
        <v>1323</v>
      </c>
      <c r="R178" s="9" t="s">
        <v>329</v>
      </c>
      <c r="S178" s="9"/>
      <c r="U178" s="42" t="str">
        <f t="shared" si="18"/>
        <v>VAR-02, L:Julkinen, E:Vähäinen, S:Vähäinen, TS:Henkilötieto</v>
      </c>
      <c r="V178" s="42" t="str">
        <f t="shared" si="19"/>
        <v>Julkri: HAL-05</v>
      </c>
      <c r="W178" s="43">
        <f>IFERROR(VLOOKUP(A178,Esiehdot!A$11:D$15,4,0), 0)</f>
        <v>1</v>
      </c>
      <c r="X178" s="44">
        <f>IF(Esiehdot!D$4&gt;=IFERROR(VLOOKUP(E178,Valintalistat!D$2:H$7,5,0), 99),1,0)</f>
        <v>1</v>
      </c>
      <c r="Y178" s="44">
        <f>IF(Esiehdot!D$5&gt;=IFERROR(VLOOKUP(F178,Valintalistat!E$2:H$5,4,0), 99),1,0)</f>
        <v>1</v>
      </c>
      <c r="Z178" s="44">
        <f>IF(Esiehdot!D$6&gt;=IFERROR(VLOOKUP(G178,Valintalistat!F$2:H$5,3,0),99),1,0)</f>
        <v>1</v>
      </c>
      <c r="AA178" s="44">
        <f>IF(Esiehdot!D$8&gt;=IFERROR(VLOOKUP(H178,Valintalistat!G$2:H$5,2,0),99),1,0)</f>
        <v>0</v>
      </c>
      <c r="AB178" s="43">
        <f t="shared" si="20"/>
        <v>1</v>
      </c>
      <c r="AC178" s="44">
        <f>IF(Esiehdot!E$4=IFERROR(VLOOKUP(E178,Valintalistat!D$2:H$7,5,0),99),1,0)</f>
        <v>0</v>
      </c>
      <c r="AD178" s="44">
        <f>IF(Esiehdot!E$5=IFERROR(VLOOKUP(F178,Valintalistat!E$2:H$5,4,0),99),1,0)</f>
        <v>0</v>
      </c>
      <c r="AE178" s="44">
        <f>IF(Esiehdot!E$6=IFERROR(VLOOKUP(G178,Valintalistat!F$2:H$5,3,0),99),1,0)</f>
        <v>0</v>
      </c>
      <c r="AF178" s="44">
        <f>IF(Esiehdot!E$8=IFERROR(VLOOKUP(H178,Valintalistat!G$2:H$3,2,0),98),1,0)</f>
        <v>0</v>
      </c>
      <c r="AG178" s="43">
        <f t="shared" si="21"/>
        <v>0</v>
      </c>
      <c r="AH178" s="43">
        <f>IFERROR(HLOOKUP(Esiehdot!$B$17,Käyttötapauskriteerit!G$1:P178,178,0),1)</f>
        <v>1</v>
      </c>
      <c r="AI178" s="43">
        <f t="shared" si="22"/>
        <v>1</v>
      </c>
      <c r="AJ178" s="43">
        <f t="shared" si="23"/>
        <v>0</v>
      </c>
      <c r="AK178" s="43">
        <f t="shared" si="24"/>
        <v>0</v>
      </c>
      <c r="AL178" s="43">
        <f t="shared" si="25"/>
        <v>0</v>
      </c>
      <c r="AM178" s="43"/>
      <c r="AN178" s="45" t="str">
        <f t="shared" si="26"/>
        <v>Olennainen</v>
      </c>
    </row>
    <row r="179" spans="1:40 16325:16383" ht="37.5">
      <c r="A179" s="5" t="s">
        <v>37</v>
      </c>
      <c r="B179" s="5" t="s">
        <v>1310</v>
      </c>
      <c r="C179" s="22" t="s">
        <v>1324</v>
      </c>
      <c r="D179" s="22" t="s">
        <v>1290</v>
      </c>
      <c r="E179" s="17" t="s">
        <v>25</v>
      </c>
      <c r="F179" s="17" t="s">
        <v>27</v>
      </c>
      <c r="G179" s="17" t="s">
        <v>27</v>
      </c>
      <c r="H179" s="17" t="s">
        <v>260</v>
      </c>
      <c r="I179" s="17"/>
      <c r="J179" s="17"/>
      <c r="K179" s="17" t="s">
        <v>512</v>
      </c>
      <c r="L179" s="32" t="s">
        <v>1325</v>
      </c>
      <c r="M179" s="61" t="s">
        <v>1326</v>
      </c>
      <c r="N179" s="23" t="s">
        <v>1327</v>
      </c>
      <c r="O179" s="23"/>
      <c r="P179" s="9" t="s">
        <v>1328</v>
      </c>
      <c r="Q179" s="9" t="s">
        <v>1329</v>
      </c>
      <c r="R179" s="9" t="s">
        <v>329</v>
      </c>
      <c r="S179" s="9"/>
      <c r="U179" s="42" t="str">
        <f t="shared" si="18"/>
        <v>VAR-02.1, L:Julkinen, E:Vähäinen, S:Vähäinen, TS:Henkilötieto</v>
      </c>
      <c r="V179" s="42" t="str">
        <f t="shared" si="19"/>
        <v>Julkri: HAL-05</v>
      </c>
      <c r="W179" s="43">
        <f>IFERROR(VLOOKUP(A179,Esiehdot!A$11:D$15,4,0), 0)</f>
        <v>1</v>
      </c>
      <c r="X179" s="44">
        <f>IF(Esiehdot!D$4&gt;=IFERROR(VLOOKUP(E179,Valintalistat!D$2:H$7,5,0), 99),1,0)</f>
        <v>1</v>
      </c>
      <c r="Y179" s="44">
        <f>IF(Esiehdot!D$5&gt;=IFERROR(VLOOKUP(F179,Valintalistat!E$2:H$5,4,0), 99),1,0)</f>
        <v>1</v>
      </c>
      <c r="Z179" s="44">
        <f>IF(Esiehdot!D$6&gt;=IFERROR(VLOOKUP(G179,Valintalistat!F$2:H$5,3,0),99),1,0)</f>
        <v>1</v>
      </c>
      <c r="AA179" s="44">
        <f>IF(Esiehdot!D$8&gt;=IFERROR(VLOOKUP(H179,Valintalistat!G$2:H$5,2,0),99),1,0)</f>
        <v>0</v>
      </c>
      <c r="AB179" s="43">
        <f t="shared" si="20"/>
        <v>1</v>
      </c>
      <c r="AC179" s="44">
        <f>IF(Esiehdot!E$4=IFERROR(VLOOKUP(E179,Valintalistat!D$2:H$7,5,0),99),1,0)</f>
        <v>0</v>
      </c>
      <c r="AD179" s="44">
        <f>IF(Esiehdot!E$5=IFERROR(VLOOKUP(F179,Valintalistat!E$2:H$5,4,0),99),1,0)</f>
        <v>0</v>
      </c>
      <c r="AE179" s="44">
        <f>IF(Esiehdot!E$6=IFERROR(VLOOKUP(G179,Valintalistat!F$2:H$5,3,0),99),1,0)</f>
        <v>0</v>
      </c>
      <c r="AF179" s="44">
        <f>IF(Esiehdot!E$8=IFERROR(VLOOKUP(H179,Valintalistat!G$2:H$3,2,0),98),1,0)</f>
        <v>0</v>
      </c>
      <c r="AG179" s="43">
        <f t="shared" si="21"/>
        <v>0</v>
      </c>
      <c r="AH179" s="43">
        <f>IFERROR(HLOOKUP(Esiehdot!$B$17,Käyttötapauskriteerit!G$1:P179,179,0),1)</f>
        <v>1</v>
      </c>
      <c r="AI179" s="43">
        <f t="shared" si="22"/>
        <v>1</v>
      </c>
      <c r="AJ179" s="43">
        <f t="shared" si="23"/>
        <v>0</v>
      </c>
      <c r="AK179" s="43">
        <f t="shared" si="24"/>
        <v>0</v>
      </c>
      <c r="AL179" s="43">
        <f t="shared" si="25"/>
        <v>0</v>
      </c>
      <c r="AM179" s="43"/>
      <c r="AN179" s="45" t="str">
        <f t="shared" si="26"/>
        <v>Olennainen</v>
      </c>
    </row>
    <row r="180" spans="1:40 16325:16383" ht="24.95">
      <c r="A180" s="5" t="s">
        <v>37</v>
      </c>
      <c r="B180" s="5" t="s">
        <v>1330</v>
      </c>
      <c r="C180" s="22" t="s">
        <v>1331</v>
      </c>
      <c r="E180" s="17"/>
      <c r="F180" s="17"/>
      <c r="G180" s="17" t="s">
        <v>277</v>
      </c>
      <c r="H180" s="17"/>
      <c r="I180" s="17"/>
      <c r="J180" s="17"/>
      <c r="K180" s="17" t="s">
        <v>512</v>
      </c>
      <c r="L180" s="32" t="s">
        <v>1332</v>
      </c>
      <c r="M180" s="61" t="s">
        <v>1333</v>
      </c>
      <c r="N180" s="23" t="s">
        <v>1334</v>
      </c>
      <c r="O180" s="23" t="s">
        <v>1335</v>
      </c>
      <c r="P180" s="9" t="s">
        <v>1336</v>
      </c>
      <c r="Q180" s="9" t="s">
        <v>1337</v>
      </c>
      <c r="R180" s="9"/>
      <c r="S180" s="9"/>
      <c r="U180" s="42" t="str">
        <f t="shared" si="18"/>
        <v>VAR-03, L:, E:, S:Tärkeä, TS:</v>
      </c>
      <c r="V180" s="46" t="str">
        <f t="shared" si="19"/>
        <v/>
      </c>
      <c r="W180" s="46">
        <f>IFERROR(VLOOKUP(A180,Esiehdot!A$11:D$15,4,0), 0)</f>
        <v>1</v>
      </c>
      <c r="X180" s="46">
        <f>IF(Esiehdot!D$4&gt;=IFERROR(VLOOKUP(E180,Valintalistat!D$2:H$7,5,0), 99),1,0)</f>
        <v>0</v>
      </c>
      <c r="Y180" s="46">
        <f>IF(Esiehdot!D$5&gt;=IFERROR(VLOOKUP(F180,Valintalistat!E$2:H$5,4,0), 99),1,0)</f>
        <v>0</v>
      </c>
      <c r="Z180" s="46">
        <f>IF(Esiehdot!D$6&gt;=IFERROR(VLOOKUP(G180,Valintalistat!F$2:H$5,3,0),99),1,0)</f>
        <v>0</v>
      </c>
      <c r="AA180" s="46">
        <f>IF(Esiehdot!D$8&gt;=IFERROR(VLOOKUP(H180,Valintalistat!G$2:H$5,2,0),99),1,0)</f>
        <v>0</v>
      </c>
      <c r="AB180" s="46">
        <f t="shared" si="20"/>
        <v>0</v>
      </c>
      <c r="AC180" s="46">
        <f>IF(Esiehdot!E$4=IFERROR(VLOOKUP(E180,Valintalistat!D$2:H$7,5,0),99),1,0)</f>
        <v>0</v>
      </c>
      <c r="AD180" s="46">
        <f>IF(Esiehdot!E$5=IFERROR(VLOOKUP(F180,Valintalistat!E$2:H$5,4,0),99),1,0)</f>
        <v>0</v>
      </c>
      <c r="AE180" s="46">
        <f>IF(Esiehdot!E$6=IFERROR(VLOOKUP(G180,Valintalistat!F$2:H$5,3,0),99),1,0)</f>
        <v>0</v>
      </c>
      <c r="AF180" s="46">
        <f>IF(Esiehdot!E$8=IFERROR(VLOOKUP(H180,Valintalistat!G$2:H$3,2,0),98),1,0)</f>
        <v>0</v>
      </c>
      <c r="AG180" s="46">
        <f t="shared" si="21"/>
        <v>0</v>
      </c>
      <c r="AH180" s="46">
        <f>IFERROR(HLOOKUP(Esiehdot!$B$17,Käyttötapauskriteerit!G$1:P180,180,0),1)</f>
        <v>1</v>
      </c>
      <c r="AI180" s="46">
        <f t="shared" si="22"/>
        <v>0</v>
      </c>
      <c r="AJ180" s="46">
        <f t="shared" si="23"/>
        <v>0</v>
      </c>
      <c r="AK180" s="46">
        <f t="shared" si="24"/>
        <v>0</v>
      </c>
      <c r="AL180" s="46">
        <f t="shared" si="25"/>
        <v>0</v>
      </c>
      <c r="AM180" s="46"/>
      <c r="AN180" s="45" t="str">
        <f t="shared" si="26"/>
        <v>Ei ehdoteta hankintaan</v>
      </c>
      <c r="XEK180" s="5"/>
      <c r="XEL180" s="5"/>
      <c r="XEM180" s="22"/>
      <c r="XEN180" s="22"/>
      <c r="XEO180" s="17"/>
      <c r="XEP180" s="17"/>
      <c r="XEQ180" s="17"/>
      <c r="XER180" s="17"/>
      <c r="XES180" s="17"/>
      <c r="XET180" s="17"/>
      <c r="XEU180" s="17"/>
      <c r="XEV180" s="32"/>
      <c r="XEW180" s="23"/>
      <c r="XEX180" s="23"/>
      <c r="XEY180" s="23"/>
      <c r="XEZ180" s="9"/>
      <c r="XFA180" s="9"/>
      <c r="XFB180" s="9"/>
      <c r="XFC180" s="9"/>
    </row>
    <row r="181" spans="1:40 16325:16383" ht="37.5">
      <c r="A181" s="5" t="s">
        <v>37</v>
      </c>
      <c r="B181" s="5" t="s">
        <v>1330</v>
      </c>
      <c r="C181" s="22" t="s">
        <v>1338</v>
      </c>
      <c r="D181" s="22" t="s">
        <v>1331</v>
      </c>
      <c r="E181" s="17"/>
      <c r="F181" s="17"/>
      <c r="G181" s="17" t="s">
        <v>277</v>
      </c>
      <c r="H181" s="17"/>
      <c r="I181" s="17"/>
      <c r="J181" s="17"/>
      <c r="K181" s="17" t="s">
        <v>512</v>
      </c>
      <c r="L181" s="32" t="s">
        <v>1339</v>
      </c>
      <c r="M181" s="61" t="s">
        <v>1340</v>
      </c>
      <c r="N181" s="23" t="s">
        <v>1341</v>
      </c>
      <c r="O181" s="23" t="s">
        <v>1342</v>
      </c>
      <c r="P181" s="9" t="s">
        <v>1343</v>
      </c>
      <c r="Q181" s="9" t="s">
        <v>1344</v>
      </c>
      <c r="R181" s="9"/>
      <c r="S181" s="9" t="s">
        <v>473</v>
      </c>
      <c r="U181" s="42" t="str">
        <f t="shared" si="18"/>
        <v>VAR-03.1, L:, E:, S:Tärkeä, TS:</v>
      </c>
      <c r="V181" s="42" t="str">
        <f t="shared" si="19"/>
        <v>Katakri: I-13</v>
      </c>
      <c r="W181" s="43">
        <f>IFERROR(VLOOKUP(A181,Esiehdot!A$11:D$15,4,0), 0)</f>
        <v>1</v>
      </c>
      <c r="X181" s="44">
        <f>IF(Esiehdot!D$4&gt;=IFERROR(VLOOKUP(E181,Valintalistat!D$2:H$7,5,0), 99),1,0)</f>
        <v>0</v>
      </c>
      <c r="Y181" s="44">
        <f>IF(Esiehdot!D$5&gt;=IFERROR(VLOOKUP(F181,Valintalistat!E$2:H$5,4,0), 99),1,0)</f>
        <v>0</v>
      </c>
      <c r="Z181" s="44">
        <f>IF(Esiehdot!D$6&gt;=IFERROR(VLOOKUP(G181,Valintalistat!F$2:H$5,3,0),99),1,0)</f>
        <v>0</v>
      </c>
      <c r="AA181" s="44">
        <f>IF(Esiehdot!D$8&gt;=IFERROR(VLOOKUP(H181,Valintalistat!G$2:H$5,2,0),99),1,0)</f>
        <v>0</v>
      </c>
      <c r="AB181" s="43">
        <f t="shared" si="20"/>
        <v>0</v>
      </c>
      <c r="AC181" s="44">
        <f>IF(Esiehdot!E$4=IFERROR(VLOOKUP(E181,Valintalistat!D$2:H$7,5,0),99),1,0)</f>
        <v>0</v>
      </c>
      <c r="AD181" s="44">
        <f>IF(Esiehdot!E$5=IFERROR(VLOOKUP(F181,Valintalistat!E$2:H$5,4,0),99),1,0)</f>
        <v>0</v>
      </c>
      <c r="AE181" s="44">
        <f>IF(Esiehdot!E$6=IFERROR(VLOOKUP(G181,Valintalistat!F$2:H$5,3,0),99),1,0)</f>
        <v>0</v>
      </c>
      <c r="AF181" s="44">
        <f>IF(Esiehdot!E$8=IFERROR(VLOOKUP(H181,Valintalistat!G$2:H$3,2,0),98),1,0)</f>
        <v>0</v>
      </c>
      <c r="AG181" s="43">
        <f t="shared" si="21"/>
        <v>0</v>
      </c>
      <c r="AH181" s="43">
        <f>IFERROR(HLOOKUP(Esiehdot!$B$17,Käyttötapauskriteerit!G$1:P181,181,0),1)</f>
        <v>1</v>
      </c>
      <c r="AI181" s="43">
        <f t="shared" si="22"/>
        <v>0</v>
      </c>
      <c r="AJ181" s="43">
        <f t="shared" si="23"/>
        <v>0</v>
      </c>
      <c r="AK181" s="43">
        <f t="shared" si="24"/>
        <v>0</v>
      </c>
      <c r="AL181" s="43">
        <f t="shared" si="25"/>
        <v>0</v>
      </c>
      <c r="AM181" s="43"/>
      <c r="AN181" s="45" t="str">
        <f t="shared" si="26"/>
        <v>Ei ehdoteta hankintaan</v>
      </c>
    </row>
    <row r="182" spans="1:40 16325:16383" ht="87.6">
      <c r="A182" s="5" t="s">
        <v>37</v>
      </c>
      <c r="B182" s="5" t="s">
        <v>1330</v>
      </c>
      <c r="C182" s="22" t="s">
        <v>1345</v>
      </c>
      <c r="E182" s="17"/>
      <c r="F182" s="17"/>
      <c r="G182" s="17" t="s">
        <v>277</v>
      </c>
      <c r="H182" s="17"/>
      <c r="I182" s="17"/>
      <c r="J182" s="17"/>
      <c r="K182" s="17" t="s">
        <v>512</v>
      </c>
      <c r="L182" s="32" t="s">
        <v>1346</v>
      </c>
      <c r="M182" s="61" t="s">
        <v>1347</v>
      </c>
      <c r="N182" s="23"/>
      <c r="O182" s="23" t="s">
        <v>1348</v>
      </c>
      <c r="P182" s="9" t="s">
        <v>1349</v>
      </c>
      <c r="Q182" s="9"/>
      <c r="R182" s="9" t="s">
        <v>285</v>
      </c>
      <c r="S182" s="9" t="s">
        <v>428</v>
      </c>
      <c r="U182" s="42" t="str">
        <f t="shared" si="18"/>
        <v>VAR-04, L:, E:, S:Tärkeä, TS:</v>
      </c>
      <c r="V182" s="46" t="str">
        <f t="shared" si="19"/>
        <v>Julkri: HAL-03; Katakri: T-04</v>
      </c>
      <c r="W182" s="46">
        <f>IFERROR(VLOOKUP(A182,Esiehdot!A$11:D$15,4,0), 0)</f>
        <v>1</v>
      </c>
      <c r="X182" s="46">
        <f>IF(Esiehdot!D$4&gt;=IFERROR(VLOOKUP(E182,Valintalistat!D$2:H$7,5,0), 99),1,0)</f>
        <v>0</v>
      </c>
      <c r="Y182" s="46">
        <f>IF(Esiehdot!D$5&gt;=IFERROR(VLOOKUP(F182,Valintalistat!E$2:H$5,4,0), 99),1,0)</f>
        <v>0</v>
      </c>
      <c r="Z182" s="46">
        <f>IF(Esiehdot!D$6&gt;=IFERROR(VLOOKUP(G182,Valintalistat!F$2:H$5,3,0),99),1,0)</f>
        <v>0</v>
      </c>
      <c r="AA182" s="46">
        <f>IF(Esiehdot!D$8&gt;=IFERROR(VLOOKUP(H182,Valintalistat!G$2:H$5,2,0),99),1,0)</f>
        <v>0</v>
      </c>
      <c r="AB182" s="46">
        <f t="shared" si="20"/>
        <v>0</v>
      </c>
      <c r="AC182" s="46">
        <f>IF(Esiehdot!E$4=IFERROR(VLOOKUP(E182,Valintalistat!D$2:H$7,5,0),99),1,0)</f>
        <v>0</v>
      </c>
      <c r="AD182" s="46">
        <f>IF(Esiehdot!E$5=IFERROR(VLOOKUP(F182,Valintalistat!E$2:H$5,4,0),99),1,0)</f>
        <v>0</v>
      </c>
      <c r="AE182" s="46">
        <f>IF(Esiehdot!E$6=IFERROR(VLOOKUP(G182,Valintalistat!F$2:H$5,3,0),99),1,0)</f>
        <v>0</v>
      </c>
      <c r="AF182" s="46">
        <f>IF(Esiehdot!E$8=IFERROR(VLOOKUP(H182,Valintalistat!G$2:H$3,2,0),98),1,0)</f>
        <v>0</v>
      </c>
      <c r="AG182" s="46">
        <f t="shared" si="21"/>
        <v>0</v>
      </c>
      <c r="AH182" s="46">
        <f>IFERROR(HLOOKUP(Esiehdot!$B$17,Käyttötapauskriteerit!G$1:P182,182,0),1)</f>
        <v>1</v>
      </c>
      <c r="AI182" s="46">
        <f t="shared" si="22"/>
        <v>0</v>
      </c>
      <c r="AJ182" s="46">
        <f t="shared" si="23"/>
        <v>0</v>
      </c>
      <c r="AK182" s="46">
        <f t="shared" si="24"/>
        <v>0</v>
      </c>
      <c r="AL182" s="46">
        <f t="shared" si="25"/>
        <v>0</v>
      </c>
      <c r="AM182" s="46"/>
      <c r="AN182" s="45" t="str">
        <f t="shared" si="26"/>
        <v>Ei ehdoteta hankintaan</v>
      </c>
      <c r="XDQ182" s="5"/>
      <c r="XDR182" s="5"/>
      <c r="XDS182" s="22"/>
      <c r="XDT182" s="22"/>
      <c r="XDU182" s="17"/>
      <c r="XDV182" s="17"/>
      <c r="XDW182" s="17"/>
      <c r="XDX182" s="17"/>
      <c r="XDY182" s="17"/>
      <c r="XDZ182" s="17"/>
      <c r="XEA182" s="17"/>
      <c r="XEB182" s="32"/>
      <c r="XEC182" s="23"/>
      <c r="XED182" s="23"/>
      <c r="XEE182" s="23"/>
      <c r="XEF182" s="9"/>
      <c r="XEG182" s="9"/>
      <c r="XEH182" s="9"/>
      <c r="XEI182" s="9"/>
      <c r="XEK182" s="5"/>
      <c r="XEL182" s="5"/>
      <c r="XEM182" s="22"/>
      <c r="XEN182" s="22"/>
      <c r="XEO182" s="17"/>
      <c r="XEP182" s="17"/>
      <c r="XEQ182" s="17"/>
      <c r="XER182" s="17"/>
      <c r="XES182" s="17"/>
      <c r="XET182" s="17"/>
      <c r="XEU182" s="17"/>
      <c r="XEV182" s="32"/>
      <c r="XEW182" s="23"/>
      <c r="XEX182" s="23"/>
      <c r="XEY182" s="23"/>
      <c r="XEZ182" s="9"/>
      <c r="XFA182" s="9"/>
      <c r="XFB182" s="9"/>
      <c r="XFC182" s="9"/>
    </row>
    <row r="183" spans="1:40 16325:16383" ht="50.1">
      <c r="A183" s="5" t="s">
        <v>37</v>
      </c>
      <c r="B183" s="5" t="s">
        <v>1330</v>
      </c>
      <c r="C183" s="22" t="s">
        <v>1350</v>
      </c>
      <c r="E183" s="17"/>
      <c r="F183" s="17"/>
      <c r="G183" s="17" t="s">
        <v>277</v>
      </c>
      <c r="H183" s="17"/>
      <c r="I183" s="17"/>
      <c r="J183" s="17"/>
      <c r="K183" s="17" t="s">
        <v>512</v>
      </c>
      <c r="L183" s="32" t="s">
        <v>1351</v>
      </c>
      <c r="M183" s="61" t="s">
        <v>1352</v>
      </c>
      <c r="N183" s="23"/>
      <c r="O183" s="23" t="s">
        <v>1353</v>
      </c>
      <c r="P183" s="9" t="s">
        <v>1354</v>
      </c>
      <c r="Q183" s="9" t="s">
        <v>1355</v>
      </c>
      <c r="R183" s="9"/>
      <c r="S183" s="9"/>
      <c r="U183" s="42" t="str">
        <f t="shared" si="18"/>
        <v>VAR-05, L:, E:, S:Tärkeä, TS:</v>
      </c>
      <c r="V183" s="42" t="str">
        <f t="shared" si="19"/>
        <v/>
      </c>
      <c r="W183" s="43">
        <f>IFERROR(VLOOKUP(A183,Esiehdot!A$11:D$15,4,0), 0)</f>
        <v>1</v>
      </c>
      <c r="X183" s="44">
        <f>IF(Esiehdot!D$4&gt;=IFERROR(VLOOKUP(E183,Valintalistat!D$2:H$7,5,0), 99),1,0)</f>
        <v>0</v>
      </c>
      <c r="Y183" s="44">
        <f>IF(Esiehdot!D$5&gt;=IFERROR(VLOOKUP(F183,Valintalistat!E$2:H$5,4,0), 99),1,0)</f>
        <v>0</v>
      </c>
      <c r="Z183" s="44">
        <f>IF(Esiehdot!D$6&gt;=IFERROR(VLOOKUP(G183,Valintalistat!F$2:H$5,3,0),99),1,0)</f>
        <v>0</v>
      </c>
      <c r="AA183" s="44">
        <f>IF(Esiehdot!D$8&gt;=IFERROR(VLOOKUP(H183,Valintalistat!G$2:H$5,2,0),99),1,0)</f>
        <v>0</v>
      </c>
      <c r="AB183" s="43">
        <f t="shared" si="20"/>
        <v>0</v>
      </c>
      <c r="AC183" s="44">
        <f>IF(Esiehdot!E$4=IFERROR(VLOOKUP(E183,Valintalistat!D$2:H$7,5,0),99),1,0)</f>
        <v>0</v>
      </c>
      <c r="AD183" s="44">
        <f>IF(Esiehdot!E$5=IFERROR(VLOOKUP(F183,Valintalistat!E$2:H$5,4,0),99),1,0)</f>
        <v>0</v>
      </c>
      <c r="AE183" s="44">
        <f>IF(Esiehdot!E$6=IFERROR(VLOOKUP(G183,Valintalistat!F$2:H$5,3,0),99),1,0)</f>
        <v>0</v>
      </c>
      <c r="AF183" s="44">
        <f>IF(Esiehdot!E$8=IFERROR(VLOOKUP(H183,Valintalistat!G$2:H$3,2,0),98),1,0)</f>
        <v>0</v>
      </c>
      <c r="AG183" s="43">
        <f t="shared" si="21"/>
        <v>0</v>
      </c>
      <c r="AH183" s="43">
        <f>IFERROR(HLOOKUP(Esiehdot!$B$17,Käyttötapauskriteerit!G$1:P183,183,0),1)</f>
        <v>1</v>
      </c>
      <c r="AI183" s="43">
        <f t="shared" si="22"/>
        <v>0</v>
      </c>
      <c r="AJ183" s="43">
        <f t="shared" si="23"/>
        <v>0</v>
      </c>
      <c r="AK183" s="43">
        <f t="shared" si="24"/>
        <v>0</v>
      </c>
      <c r="AL183" s="43">
        <f t="shared" si="25"/>
        <v>0</v>
      </c>
      <c r="AM183" s="43"/>
      <c r="AN183" s="45" t="str">
        <f t="shared" si="26"/>
        <v>Ei ehdoteta hankintaan</v>
      </c>
    </row>
    <row r="184" spans="1:40 16325:16383" ht="50.1">
      <c r="A184" s="5" t="s">
        <v>37</v>
      </c>
      <c r="B184" s="5" t="s">
        <v>1330</v>
      </c>
      <c r="C184" s="22" t="s">
        <v>1356</v>
      </c>
      <c r="E184" s="17"/>
      <c r="F184" s="17"/>
      <c r="G184" s="17" t="s">
        <v>277</v>
      </c>
      <c r="H184" s="17"/>
      <c r="I184" s="17"/>
      <c r="J184" s="17"/>
      <c r="K184" s="17" t="s">
        <v>512</v>
      </c>
      <c r="L184" s="32" t="s">
        <v>1357</v>
      </c>
      <c r="M184" s="61" t="s">
        <v>1358</v>
      </c>
      <c r="N184" s="23" t="s">
        <v>916</v>
      </c>
      <c r="O184" s="23" t="s">
        <v>1359</v>
      </c>
      <c r="P184" s="9" t="s">
        <v>1360</v>
      </c>
      <c r="Q184" s="9" t="s">
        <v>1361</v>
      </c>
      <c r="R184" s="9" t="s">
        <v>474</v>
      </c>
      <c r="S184" s="9"/>
      <c r="U184" s="42" t="str">
        <f t="shared" si="18"/>
        <v>VAR-06, L:, E:, S:Tärkeä, TS:</v>
      </c>
      <c r="V184" s="46" t="str">
        <f t="shared" si="19"/>
        <v>Julkri: HAL-16.1</v>
      </c>
      <c r="W184" s="46">
        <f>IFERROR(VLOOKUP(A184,Esiehdot!A$11:D$15,4,0), 0)</f>
        <v>1</v>
      </c>
      <c r="X184" s="46">
        <f>IF(Esiehdot!D$4&gt;=IFERROR(VLOOKUP(E184,Valintalistat!D$2:H$7,5,0), 99),1,0)</f>
        <v>0</v>
      </c>
      <c r="Y184" s="46">
        <f>IF(Esiehdot!D$5&gt;=IFERROR(VLOOKUP(F184,Valintalistat!E$2:H$5,4,0), 99),1,0)</f>
        <v>0</v>
      </c>
      <c r="Z184" s="46">
        <f>IF(Esiehdot!D$6&gt;=IFERROR(VLOOKUP(G184,Valintalistat!F$2:H$5,3,0),99),1,0)</f>
        <v>0</v>
      </c>
      <c r="AA184" s="46">
        <f>IF(Esiehdot!D$8&gt;=IFERROR(VLOOKUP(H184,Valintalistat!G$2:H$5,2,0),99),1,0)</f>
        <v>0</v>
      </c>
      <c r="AB184" s="46">
        <f t="shared" si="20"/>
        <v>0</v>
      </c>
      <c r="AC184" s="46">
        <f>IF(Esiehdot!E$4=IFERROR(VLOOKUP(E184,Valintalistat!D$2:H$7,5,0),99),1,0)</f>
        <v>0</v>
      </c>
      <c r="AD184" s="46">
        <f>IF(Esiehdot!E$5=IFERROR(VLOOKUP(F184,Valintalistat!E$2:H$5,4,0),99),1,0)</f>
        <v>0</v>
      </c>
      <c r="AE184" s="46">
        <f>IF(Esiehdot!E$6=IFERROR(VLOOKUP(G184,Valintalistat!F$2:H$5,3,0),99),1,0)</f>
        <v>0</v>
      </c>
      <c r="AF184" s="46">
        <f>IF(Esiehdot!E$8=IFERROR(VLOOKUP(H184,Valintalistat!G$2:H$3,2,0),98),1,0)</f>
        <v>0</v>
      </c>
      <c r="AG184" s="46">
        <f t="shared" si="21"/>
        <v>0</v>
      </c>
      <c r="AH184" s="46">
        <f>IFERROR(HLOOKUP(Esiehdot!$B$17,Käyttötapauskriteerit!G$1:P184,184,0),1)</f>
        <v>1</v>
      </c>
      <c r="AI184" s="46">
        <f t="shared" si="22"/>
        <v>0</v>
      </c>
      <c r="AJ184" s="46">
        <f t="shared" si="23"/>
        <v>0</v>
      </c>
      <c r="AK184" s="46">
        <f t="shared" si="24"/>
        <v>0</v>
      </c>
      <c r="AL184" s="46">
        <f t="shared" si="25"/>
        <v>0</v>
      </c>
      <c r="AM184" s="46"/>
      <c r="AN184" s="45" t="str">
        <f t="shared" si="26"/>
        <v>Ei ehdoteta hankintaan</v>
      </c>
      <c r="XEK184" s="5"/>
      <c r="XEL184" s="5"/>
      <c r="XEM184" s="22"/>
      <c r="XEN184" s="22"/>
      <c r="XEO184" s="17"/>
      <c r="XEP184" s="17"/>
      <c r="XEQ184" s="17"/>
      <c r="XER184" s="17"/>
      <c r="XES184" s="17"/>
      <c r="XET184" s="17"/>
      <c r="XEU184" s="17"/>
      <c r="XEV184" s="32"/>
      <c r="XEW184" s="23"/>
      <c r="XEX184" s="23"/>
      <c r="XEY184" s="23"/>
      <c r="XEZ184" s="9"/>
      <c r="XFA184" s="9"/>
      <c r="XFB184" s="9"/>
      <c r="XFC184" s="9"/>
    </row>
    <row r="185" spans="1:40 16325:16383" ht="50.1">
      <c r="A185" s="5" t="s">
        <v>37</v>
      </c>
      <c r="B185" s="5" t="s">
        <v>1330</v>
      </c>
      <c r="C185" s="22" t="s">
        <v>1362</v>
      </c>
      <c r="E185" s="17"/>
      <c r="F185" s="17"/>
      <c r="G185" s="17" t="s">
        <v>277</v>
      </c>
      <c r="H185" s="17"/>
      <c r="I185" s="17"/>
      <c r="J185" s="17"/>
      <c r="K185" s="17" t="s">
        <v>512</v>
      </c>
      <c r="L185" s="32" t="s">
        <v>1363</v>
      </c>
      <c r="M185" s="61" t="s">
        <v>1364</v>
      </c>
      <c r="N185" s="23"/>
      <c r="O185" s="23" t="s">
        <v>1365</v>
      </c>
      <c r="P185" s="9" t="s">
        <v>1360</v>
      </c>
      <c r="Q185" s="9" t="s">
        <v>1361</v>
      </c>
      <c r="R185" s="9" t="s">
        <v>474</v>
      </c>
      <c r="S185" s="9"/>
      <c r="U185" s="42" t="str">
        <f t="shared" si="18"/>
        <v>VAR-07, L:, E:, S:Tärkeä, TS:</v>
      </c>
      <c r="V185" s="46" t="str">
        <f t="shared" si="19"/>
        <v>Julkri: HAL-16.1</v>
      </c>
      <c r="W185" s="46">
        <f>IFERROR(VLOOKUP(A185,Esiehdot!A$11:D$15,4,0), 0)</f>
        <v>1</v>
      </c>
      <c r="X185" s="46">
        <f>IF(Esiehdot!D$4&gt;=IFERROR(VLOOKUP(E185,Valintalistat!D$2:H$7,5,0), 99),1,0)</f>
        <v>0</v>
      </c>
      <c r="Y185" s="46">
        <f>IF(Esiehdot!D$5&gt;=IFERROR(VLOOKUP(F185,Valintalistat!E$2:H$5,4,0), 99),1,0)</f>
        <v>0</v>
      </c>
      <c r="Z185" s="46">
        <f>IF(Esiehdot!D$6&gt;=IFERROR(VLOOKUP(G185,Valintalistat!F$2:H$5,3,0),99),1,0)</f>
        <v>0</v>
      </c>
      <c r="AA185" s="46">
        <f>IF(Esiehdot!D$8&gt;=IFERROR(VLOOKUP(H185,Valintalistat!G$2:H$5,2,0),99),1,0)</f>
        <v>0</v>
      </c>
      <c r="AB185" s="46">
        <f t="shared" si="20"/>
        <v>0</v>
      </c>
      <c r="AC185" s="46">
        <f>IF(Esiehdot!E$4=IFERROR(VLOOKUP(E185,Valintalistat!D$2:H$7,5,0),99),1,0)</f>
        <v>0</v>
      </c>
      <c r="AD185" s="46">
        <f>IF(Esiehdot!E$5=IFERROR(VLOOKUP(F185,Valintalistat!E$2:H$5,4,0),99),1,0)</f>
        <v>0</v>
      </c>
      <c r="AE185" s="46">
        <f>IF(Esiehdot!E$6=IFERROR(VLOOKUP(G185,Valintalistat!F$2:H$5,3,0),99),1,0)</f>
        <v>0</v>
      </c>
      <c r="AF185" s="46">
        <f>IF(Esiehdot!E$8=IFERROR(VLOOKUP(H185,Valintalistat!G$2:H$3,2,0),98),1,0)</f>
        <v>0</v>
      </c>
      <c r="AG185" s="46">
        <f t="shared" si="21"/>
        <v>0</v>
      </c>
      <c r="AH185" s="46">
        <f>IFERROR(HLOOKUP(Esiehdot!$B$17,Käyttötapauskriteerit!G$1:P185,185,0),1)</f>
        <v>1</v>
      </c>
      <c r="AI185" s="46">
        <f t="shared" si="22"/>
        <v>0</v>
      </c>
      <c r="AJ185" s="46">
        <f t="shared" si="23"/>
        <v>0</v>
      </c>
      <c r="AK185" s="46">
        <f t="shared" si="24"/>
        <v>0</v>
      </c>
      <c r="AL185" s="46">
        <f t="shared" si="25"/>
        <v>0</v>
      </c>
      <c r="AM185" s="46"/>
      <c r="AN185" s="45" t="str">
        <f t="shared" si="26"/>
        <v>Ei ehdoteta hankintaan</v>
      </c>
      <c r="XEK185" s="5"/>
      <c r="XEL185" s="5"/>
      <c r="XEM185" s="22"/>
      <c r="XEN185" s="22"/>
      <c r="XEO185" s="17"/>
      <c r="XEP185" s="17"/>
      <c r="XEQ185" s="17"/>
      <c r="XER185" s="17"/>
      <c r="XES185" s="17"/>
      <c r="XET185" s="17"/>
      <c r="XEU185" s="17"/>
      <c r="XEV185" s="32"/>
      <c r="XEW185" s="23"/>
      <c r="XEX185" s="23"/>
      <c r="XEY185" s="23"/>
      <c r="XEZ185" s="9"/>
      <c r="XFA185" s="9"/>
      <c r="XFB185" s="9"/>
      <c r="XFC185" s="9"/>
    </row>
    <row r="186" spans="1:40 16325:16383" ht="50.1">
      <c r="A186" s="5" t="s">
        <v>37</v>
      </c>
      <c r="B186" s="5" t="s">
        <v>1330</v>
      </c>
      <c r="C186" s="22" t="s">
        <v>1366</v>
      </c>
      <c r="E186" s="17"/>
      <c r="F186" s="17"/>
      <c r="G186" s="17" t="s">
        <v>406</v>
      </c>
      <c r="H186" s="17"/>
      <c r="I186" s="17"/>
      <c r="J186" s="17"/>
      <c r="K186" s="17" t="s">
        <v>512</v>
      </c>
      <c r="L186" s="32" t="s">
        <v>1367</v>
      </c>
      <c r="M186" s="61" t="s">
        <v>1368</v>
      </c>
      <c r="N186" s="23" t="s">
        <v>1369</v>
      </c>
      <c r="O186" s="23" t="s">
        <v>1370</v>
      </c>
      <c r="P186" s="9" t="s">
        <v>1371</v>
      </c>
      <c r="Q186" s="9" t="s">
        <v>1372</v>
      </c>
      <c r="R186" s="9"/>
      <c r="S186" s="9"/>
      <c r="U186" s="42" t="str">
        <f t="shared" si="18"/>
        <v>VAR-08, L:, E:, S:Kriittinen, TS:</v>
      </c>
      <c r="V186" s="42" t="str">
        <f t="shared" si="19"/>
        <v/>
      </c>
      <c r="W186" s="43">
        <f>IFERROR(VLOOKUP(A186,Esiehdot!A$11:D$15,4,0), 0)</f>
        <v>1</v>
      </c>
      <c r="X186" s="44">
        <f>IF(Esiehdot!D$4&gt;=IFERROR(VLOOKUP(E186,Valintalistat!D$2:H$7,5,0), 99),1,0)</f>
        <v>0</v>
      </c>
      <c r="Y186" s="44">
        <f>IF(Esiehdot!D$5&gt;=IFERROR(VLOOKUP(F186,Valintalistat!E$2:H$5,4,0), 99),1,0)</f>
        <v>0</v>
      </c>
      <c r="Z186" s="44">
        <f>IF(Esiehdot!D$6&gt;=IFERROR(VLOOKUP(G186,Valintalistat!F$2:H$5,3,0),99),1,0)</f>
        <v>0</v>
      </c>
      <c r="AA186" s="44">
        <f>IF(Esiehdot!D$8&gt;=IFERROR(VLOOKUP(H186,Valintalistat!G$2:H$5,2,0),99),1,0)</f>
        <v>0</v>
      </c>
      <c r="AB186" s="43">
        <f t="shared" si="20"/>
        <v>0</v>
      </c>
      <c r="AC186" s="44">
        <f>IF(Esiehdot!E$4=IFERROR(VLOOKUP(E186,Valintalistat!D$2:H$7,5,0),99),1,0)</f>
        <v>0</v>
      </c>
      <c r="AD186" s="44">
        <f>IF(Esiehdot!E$5=IFERROR(VLOOKUP(F186,Valintalistat!E$2:H$5,4,0),99),1,0)</f>
        <v>0</v>
      </c>
      <c r="AE186" s="44">
        <f>IF(Esiehdot!E$6=IFERROR(VLOOKUP(G186,Valintalistat!F$2:H$5,3,0),99),1,0)</f>
        <v>0</v>
      </c>
      <c r="AF186" s="44">
        <f>IF(Esiehdot!E$8=IFERROR(VLOOKUP(H186,Valintalistat!G$2:H$3,2,0),98),1,0)</f>
        <v>0</v>
      </c>
      <c r="AG186" s="43">
        <f t="shared" si="21"/>
        <v>0</v>
      </c>
      <c r="AH186" s="43">
        <f>IFERROR(HLOOKUP(Esiehdot!$B$17,Käyttötapauskriteerit!G$1:P186,186,0),1)</f>
        <v>1</v>
      </c>
      <c r="AI186" s="43">
        <f t="shared" si="22"/>
        <v>0</v>
      </c>
      <c r="AJ186" s="43">
        <f t="shared" si="23"/>
        <v>0</v>
      </c>
      <c r="AK186" s="43">
        <f t="shared" si="24"/>
        <v>0</v>
      </c>
      <c r="AL186" s="43">
        <f t="shared" si="25"/>
        <v>0</v>
      </c>
      <c r="AM186" s="43"/>
      <c r="AN186" s="45" t="str">
        <f t="shared" si="26"/>
        <v>Ei ehdoteta hankintaan</v>
      </c>
    </row>
    <row r="187" spans="1:40 16325:16383" ht="50.1">
      <c r="A187" s="5" t="s">
        <v>37</v>
      </c>
      <c r="B187" s="5" t="s">
        <v>1330</v>
      </c>
      <c r="C187" s="22" t="s">
        <v>1373</v>
      </c>
      <c r="D187" s="22" t="s">
        <v>1366</v>
      </c>
      <c r="E187" s="17"/>
      <c r="F187" s="17"/>
      <c r="G187" s="17" t="s">
        <v>406</v>
      </c>
      <c r="H187" s="17"/>
      <c r="I187" s="17"/>
      <c r="J187" s="17"/>
      <c r="K187" s="17" t="s">
        <v>512</v>
      </c>
      <c r="L187" s="32" t="s">
        <v>1374</v>
      </c>
      <c r="M187" s="61" t="s">
        <v>1375</v>
      </c>
      <c r="N187" s="23"/>
      <c r="O187" s="23" t="s">
        <v>1376</v>
      </c>
      <c r="P187" s="9" t="s">
        <v>1371</v>
      </c>
      <c r="Q187" s="9" t="s">
        <v>1377</v>
      </c>
      <c r="R187" s="9"/>
      <c r="S187" s="9"/>
      <c r="U187" s="42" t="str">
        <f t="shared" si="18"/>
        <v>VAR-08.1, L:, E:, S:Kriittinen, TS:</v>
      </c>
      <c r="V187" s="42" t="str">
        <f t="shared" si="19"/>
        <v/>
      </c>
      <c r="W187" s="43">
        <f>IFERROR(VLOOKUP(A187,Esiehdot!A$11:D$15,4,0), 0)</f>
        <v>1</v>
      </c>
      <c r="X187" s="44">
        <f>IF(Esiehdot!D$4&gt;=IFERROR(VLOOKUP(E187,Valintalistat!D$2:H$7,5,0), 99),1,0)</f>
        <v>0</v>
      </c>
      <c r="Y187" s="44">
        <f>IF(Esiehdot!D$5&gt;=IFERROR(VLOOKUP(F187,Valintalistat!E$2:H$5,4,0), 99),1,0)</f>
        <v>0</v>
      </c>
      <c r="Z187" s="44">
        <f>IF(Esiehdot!D$6&gt;=IFERROR(VLOOKUP(G187,Valintalistat!F$2:H$5,3,0),99),1,0)</f>
        <v>0</v>
      </c>
      <c r="AA187" s="44">
        <f>IF(Esiehdot!D$8&gt;=IFERROR(VLOOKUP(H187,Valintalistat!G$2:H$5,2,0),99),1,0)</f>
        <v>0</v>
      </c>
      <c r="AB187" s="43">
        <f t="shared" si="20"/>
        <v>0</v>
      </c>
      <c r="AC187" s="44">
        <f>IF(Esiehdot!E$4=IFERROR(VLOOKUP(E187,Valintalistat!D$2:H$7,5,0),99),1,0)</f>
        <v>0</v>
      </c>
      <c r="AD187" s="44">
        <f>IF(Esiehdot!E$5=IFERROR(VLOOKUP(F187,Valintalistat!E$2:H$5,4,0),99),1,0)</f>
        <v>0</v>
      </c>
      <c r="AE187" s="44">
        <f>IF(Esiehdot!E$6=IFERROR(VLOOKUP(G187,Valintalistat!F$2:H$5,3,0),99),1,0)</f>
        <v>0</v>
      </c>
      <c r="AF187" s="44">
        <f>IF(Esiehdot!E$8=IFERROR(VLOOKUP(H187,Valintalistat!G$2:H$3,2,0),98),1,0)</f>
        <v>0</v>
      </c>
      <c r="AG187" s="43">
        <f t="shared" si="21"/>
        <v>0</v>
      </c>
      <c r="AH187" s="43">
        <f>IFERROR(HLOOKUP(Esiehdot!$B$17,Käyttötapauskriteerit!G$1:P187,187,0),1)</f>
        <v>1</v>
      </c>
      <c r="AI187" s="43">
        <f t="shared" si="22"/>
        <v>0</v>
      </c>
      <c r="AJ187" s="43">
        <f t="shared" si="23"/>
        <v>0</v>
      </c>
      <c r="AK187" s="43">
        <f t="shared" si="24"/>
        <v>0</v>
      </c>
      <c r="AL187" s="43">
        <f t="shared" si="25"/>
        <v>0</v>
      </c>
      <c r="AM187" s="43"/>
      <c r="AN187" s="45" t="str">
        <f t="shared" si="26"/>
        <v>Ei ehdoteta hankintaan</v>
      </c>
    </row>
    <row r="188" spans="1:40 16325:16383" ht="37.5">
      <c r="A188" s="5" t="s">
        <v>37</v>
      </c>
      <c r="B188" s="5" t="s">
        <v>1330</v>
      </c>
      <c r="C188" s="22" t="s">
        <v>1236</v>
      </c>
      <c r="E188" s="17"/>
      <c r="F188" s="17"/>
      <c r="G188" s="17" t="s">
        <v>277</v>
      </c>
      <c r="H188" s="17"/>
      <c r="I188" s="17"/>
      <c r="J188" s="17"/>
      <c r="K188" s="17" t="s">
        <v>512</v>
      </c>
      <c r="L188" s="32" t="s">
        <v>1378</v>
      </c>
      <c r="M188" s="61" t="s">
        <v>1379</v>
      </c>
      <c r="N188" s="23" t="s">
        <v>1380</v>
      </c>
      <c r="O188" s="23" t="s">
        <v>1381</v>
      </c>
      <c r="P188" s="9" t="s">
        <v>1382</v>
      </c>
      <c r="Q188" s="9"/>
      <c r="R188" s="9" t="s">
        <v>1290</v>
      </c>
      <c r="S188" s="9"/>
      <c r="U188" s="42" t="str">
        <f t="shared" si="18"/>
        <v>VAR-09, L:, E:, S:Tärkeä, TS:</v>
      </c>
      <c r="V188" s="42" t="str">
        <f t="shared" si="19"/>
        <v>Julkri: VAR-02</v>
      </c>
      <c r="W188" s="43">
        <f>IFERROR(VLOOKUP(A188,Esiehdot!A$11:D$15,4,0), 0)</f>
        <v>1</v>
      </c>
      <c r="X188" s="44">
        <f>IF(Esiehdot!D$4&gt;=IFERROR(VLOOKUP(E188,Valintalistat!D$2:H$7,5,0), 99),1,0)</f>
        <v>0</v>
      </c>
      <c r="Y188" s="44">
        <f>IF(Esiehdot!D$5&gt;=IFERROR(VLOOKUP(F188,Valintalistat!E$2:H$5,4,0), 99),1,0)</f>
        <v>0</v>
      </c>
      <c r="Z188" s="44">
        <f>IF(Esiehdot!D$6&gt;=IFERROR(VLOOKUP(G188,Valintalistat!F$2:H$5,3,0),99),1,0)</f>
        <v>0</v>
      </c>
      <c r="AA188" s="44">
        <f>IF(Esiehdot!D$8&gt;=IFERROR(VLOOKUP(H188,Valintalistat!G$2:H$5,2,0),99),1,0)</f>
        <v>0</v>
      </c>
      <c r="AB188" s="43">
        <f t="shared" si="20"/>
        <v>0</v>
      </c>
      <c r="AC188" s="44">
        <f>IF(Esiehdot!E$4=IFERROR(VLOOKUP(E188,Valintalistat!D$2:H$7,5,0),99),1,0)</f>
        <v>0</v>
      </c>
      <c r="AD188" s="44">
        <f>IF(Esiehdot!E$5=IFERROR(VLOOKUP(F188,Valintalistat!E$2:H$5,4,0),99),1,0)</f>
        <v>0</v>
      </c>
      <c r="AE188" s="44">
        <f>IF(Esiehdot!E$6=IFERROR(VLOOKUP(G188,Valintalistat!F$2:H$5,3,0),99),1,0)</f>
        <v>0</v>
      </c>
      <c r="AF188" s="44">
        <f>IF(Esiehdot!E$8=IFERROR(VLOOKUP(H188,Valintalistat!G$2:H$3,2,0),98),1,0)</f>
        <v>0</v>
      </c>
      <c r="AG188" s="43">
        <f t="shared" si="21"/>
        <v>0</v>
      </c>
      <c r="AH188" s="43">
        <f>IFERROR(HLOOKUP(Esiehdot!$B$17,Käyttötapauskriteerit!G$1:P188,188,0),1)</f>
        <v>1</v>
      </c>
      <c r="AI188" s="43">
        <f t="shared" si="22"/>
        <v>0</v>
      </c>
      <c r="AJ188" s="43">
        <f t="shared" si="23"/>
        <v>0</v>
      </c>
      <c r="AK188" s="43">
        <f t="shared" si="24"/>
        <v>0</v>
      </c>
      <c r="AL188" s="43">
        <f t="shared" si="25"/>
        <v>0</v>
      </c>
      <c r="AM188" s="43"/>
      <c r="AN188" s="45" t="str">
        <f t="shared" si="26"/>
        <v>Ei ehdoteta hankintaan</v>
      </c>
    </row>
    <row r="189" spans="1:40 16325:16383" ht="15.6">
      <c r="A189" s="5"/>
      <c r="B189" s="5"/>
      <c r="E189" s="17"/>
      <c r="F189" s="17"/>
      <c r="G189" s="17"/>
      <c r="H189" s="17"/>
      <c r="I189" s="17"/>
      <c r="J189" s="17"/>
      <c r="K189" s="17"/>
      <c r="L189" s="32"/>
      <c r="M189" s="61"/>
      <c r="N189" s="23"/>
      <c r="O189" s="23"/>
      <c r="P189" s="9"/>
      <c r="Q189" s="9"/>
      <c r="R189" s="9"/>
      <c r="S189" s="9"/>
      <c r="U189" s="42" t="str">
        <f t="shared" si="18"/>
        <v>, L:, E:, S:, TS:</v>
      </c>
      <c r="V189" s="46" t="str">
        <f t="shared" si="19"/>
        <v/>
      </c>
      <c r="W189" s="46">
        <f>IFERROR(VLOOKUP(A189,Esiehdot!A$11:D$15,4,0), 0)</f>
        <v>0</v>
      </c>
      <c r="X189" s="46">
        <f>IF(Esiehdot!D$4&gt;=IFERROR(VLOOKUP(E189,Valintalistat!D$2:H$7,5,0), 99),1,0)</f>
        <v>0</v>
      </c>
      <c r="Y189" s="46">
        <f>IF(Esiehdot!D$5&gt;=IFERROR(VLOOKUP(F189,Valintalistat!E$2:H$5,4,0), 99),1,0)</f>
        <v>0</v>
      </c>
      <c r="Z189" s="46">
        <f>IF(Esiehdot!D$6&gt;=IFERROR(VLOOKUP(G189,Valintalistat!F$2:H$5,3,0),99),1,0)</f>
        <v>0</v>
      </c>
      <c r="AA189" s="46">
        <f>IF(Esiehdot!D$8&gt;=IFERROR(VLOOKUP(H189,Valintalistat!G$2:H$5,2,0),99),1,0)</f>
        <v>0</v>
      </c>
      <c r="AB189" s="46">
        <f t="shared" si="20"/>
        <v>0</v>
      </c>
      <c r="AC189" s="46">
        <f>IF(Esiehdot!E$4=IFERROR(VLOOKUP(E189,Valintalistat!D$2:H$7,5,0),99),1,0)</f>
        <v>0</v>
      </c>
      <c r="AD189" s="46">
        <f>IF(Esiehdot!E$5=IFERROR(VLOOKUP(F189,Valintalistat!E$2:H$5,4,0),99),1,0)</f>
        <v>0</v>
      </c>
      <c r="AE189" s="46">
        <f>IF(Esiehdot!E$6=IFERROR(VLOOKUP(G189,Valintalistat!F$2:H$5,3,0),99),1,0)</f>
        <v>0</v>
      </c>
      <c r="AF189" s="46">
        <f>IF(Esiehdot!E$8=IFERROR(VLOOKUP(H189,Valintalistat!G$2:H$3,2,0),98),1,0)</f>
        <v>0</v>
      </c>
      <c r="AG189" s="46">
        <f t="shared" si="21"/>
        <v>0</v>
      </c>
      <c r="AH189" s="46">
        <f>IFERROR(HLOOKUP(Esiehdot!$B$17,Käyttötapauskriteerit!G$1:P189,189,0),1)</f>
        <v>1</v>
      </c>
      <c r="AI189" s="46">
        <f t="shared" si="22"/>
        <v>0</v>
      </c>
      <c r="AJ189" s="46">
        <f t="shared" si="23"/>
        <v>0</v>
      </c>
      <c r="AK189" s="46">
        <f t="shared" si="24"/>
        <v>0</v>
      </c>
      <c r="AL189" s="46">
        <f t="shared" si="25"/>
        <v>0</v>
      </c>
      <c r="AM189" s="46"/>
      <c r="AN189" s="45" t="str">
        <f t="shared" si="26"/>
        <v/>
      </c>
      <c r="XEK189" s="5"/>
      <c r="XEL189" s="5"/>
      <c r="XEM189" s="22"/>
      <c r="XEN189" s="22"/>
      <c r="XEO189" s="17"/>
      <c r="XEP189" s="17"/>
      <c r="XEQ189" s="17"/>
      <c r="XER189" s="17"/>
      <c r="XES189" s="17"/>
      <c r="XET189" s="17"/>
      <c r="XEU189" s="17"/>
      <c r="XEV189" s="32"/>
      <c r="XEW189" s="23"/>
      <c r="XEX189" s="23"/>
      <c r="XEY189" s="23"/>
      <c r="XEZ189" s="9"/>
      <c r="XFA189" s="9"/>
      <c r="XFB189" s="9"/>
      <c r="XFC189" s="9"/>
    </row>
    <row r="190" spans="1:40 16325:16383" ht="15.6">
      <c r="A190" s="5"/>
      <c r="B190" s="5"/>
      <c r="E190" s="17"/>
      <c r="F190" s="17"/>
      <c r="G190" s="17"/>
      <c r="H190" s="17"/>
      <c r="I190" s="17"/>
      <c r="J190" s="17"/>
      <c r="K190" s="17"/>
      <c r="L190" s="32"/>
      <c r="M190" s="61"/>
      <c r="N190" s="23"/>
      <c r="O190" s="23"/>
      <c r="P190" s="9"/>
      <c r="Q190" s="9"/>
      <c r="R190" s="9"/>
      <c r="S190" s="9"/>
      <c r="U190" s="42" t="str">
        <f t="shared" si="18"/>
        <v>, L:, E:, S:, TS:</v>
      </c>
      <c r="V190" s="46" t="str">
        <f t="shared" si="19"/>
        <v/>
      </c>
      <c r="W190" s="46">
        <f>IFERROR(VLOOKUP(A190,Esiehdot!A$11:D$15,4,0), 0)</f>
        <v>0</v>
      </c>
      <c r="X190" s="46">
        <f>IF(Esiehdot!D$4&gt;=IFERROR(VLOOKUP(E190,Valintalistat!D$2:H$7,5,0), 99),1,0)</f>
        <v>0</v>
      </c>
      <c r="Y190" s="46">
        <f>IF(Esiehdot!D$5&gt;=IFERROR(VLOOKUP(F190,Valintalistat!E$2:H$5,4,0), 99),1,0)</f>
        <v>0</v>
      </c>
      <c r="Z190" s="46">
        <f>IF(Esiehdot!D$6&gt;=IFERROR(VLOOKUP(G190,Valintalistat!F$2:H$5,3,0),99),1,0)</f>
        <v>0</v>
      </c>
      <c r="AA190" s="46">
        <f>IF(Esiehdot!D$8&gt;=IFERROR(VLOOKUP(H190,Valintalistat!G$2:H$5,2,0),99),1,0)</f>
        <v>0</v>
      </c>
      <c r="AB190" s="46">
        <f t="shared" si="20"/>
        <v>0</v>
      </c>
      <c r="AC190" s="46">
        <f>IF(Esiehdot!E$4=IFERROR(VLOOKUP(E190,Valintalistat!D$2:H$7,5,0),99),1,0)</f>
        <v>0</v>
      </c>
      <c r="AD190" s="46">
        <f>IF(Esiehdot!E$5=IFERROR(VLOOKUP(F190,Valintalistat!E$2:H$5,4,0),99),1,0)</f>
        <v>0</v>
      </c>
      <c r="AE190" s="46">
        <f>IF(Esiehdot!E$6=IFERROR(VLOOKUP(G190,Valintalistat!F$2:H$5,3,0),99),1,0)</f>
        <v>0</v>
      </c>
      <c r="AF190" s="46">
        <f>IF(Esiehdot!E$8=IFERROR(VLOOKUP(H190,Valintalistat!G$2:H$3,2,0),98),1,0)</f>
        <v>0</v>
      </c>
      <c r="AG190" s="46">
        <f t="shared" si="21"/>
        <v>0</v>
      </c>
      <c r="AH190" s="46">
        <f>IFERROR(HLOOKUP(Esiehdot!$B$17,Käyttötapauskriteerit!G$1:P190,190,0),1)</f>
        <v>1</v>
      </c>
      <c r="AI190" s="46">
        <f t="shared" si="22"/>
        <v>0</v>
      </c>
      <c r="AJ190" s="46">
        <f t="shared" si="23"/>
        <v>0</v>
      </c>
      <c r="AK190" s="46">
        <f t="shared" si="24"/>
        <v>0</v>
      </c>
      <c r="AL190" s="46">
        <f t="shared" si="25"/>
        <v>0</v>
      </c>
      <c r="AM190" s="46"/>
      <c r="AN190" s="45" t="str">
        <f t="shared" si="26"/>
        <v/>
      </c>
      <c r="XEK190" s="5"/>
      <c r="XEL190" s="5"/>
      <c r="XEM190" s="22"/>
      <c r="XEN190" s="22"/>
      <c r="XEO190" s="17"/>
      <c r="XEP190" s="17"/>
      <c r="XEQ190" s="17"/>
      <c r="XER190" s="17"/>
      <c r="XES190" s="17"/>
      <c r="XET190" s="17"/>
      <c r="XEU190" s="17"/>
      <c r="XEV190" s="32"/>
      <c r="XEW190" s="23"/>
      <c r="XEX190" s="23"/>
      <c r="XEY190" s="23"/>
      <c r="XEZ190" s="9"/>
      <c r="XFA190" s="9"/>
      <c r="XFB190" s="9"/>
      <c r="XFC190" s="9"/>
    </row>
    <row r="191" spans="1:40 16325:16383" ht="15.6">
      <c r="A191" s="5"/>
      <c r="B191" s="5"/>
      <c r="E191" s="17"/>
      <c r="F191" s="17"/>
      <c r="G191" s="17"/>
      <c r="H191" s="17"/>
      <c r="I191" s="17"/>
      <c r="J191" s="17"/>
      <c r="K191" s="17"/>
      <c r="L191" s="32"/>
      <c r="M191" s="61"/>
      <c r="N191" s="23"/>
      <c r="O191" s="23"/>
      <c r="P191" s="9"/>
      <c r="Q191" s="9"/>
      <c r="R191" s="9"/>
      <c r="S191" s="9"/>
      <c r="U191" s="42" t="str">
        <f t="shared" si="18"/>
        <v>, L:, E:, S:, TS:</v>
      </c>
      <c r="V191" s="46" t="str">
        <f t="shared" si="19"/>
        <v/>
      </c>
      <c r="W191" s="46">
        <f>IFERROR(VLOOKUP(A191,Esiehdot!A$11:D$15,4,0), 0)</f>
        <v>0</v>
      </c>
      <c r="X191" s="46">
        <f>IF(Esiehdot!D$4&gt;=IFERROR(VLOOKUP(E191,Valintalistat!D$2:H$7,5,0), 99),1,0)</f>
        <v>0</v>
      </c>
      <c r="Y191" s="46">
        <f>IF(Esiehdot!D$5&gt;=IFERROR(VLOOKUP(F191,Valintalistat!E$2:H$5,4,0), 99),1,0)</f>
        <v>0</v>
      </c>
      <c r="Z191" s="46">
        <f>IF(Esiehdot!D$6&gt;=IFERROR(VLOOKUP(G191,Valintalistat!F$2:H$5,3,0),99),1,0)</f>
        <v>0</v>
      </c>
      <c r="AA191" s="46">
        <f>IF(Esiehdot!D$8&gt;=IFERROR(VLOOKUP(H191,Valintalistat!G$2:H$5,2,0),99),1,0)</f>
        <v>0</v>
      </c>
      <c r="AB191" s="46">
        <f t="shared" si="20"/>
        <v>0</v>
      </c>
      <c r="AC191" s="46">
        <f>IF(Esiehdot!E$4=IFERROR(VLOOKUP(E191,Valintalistat!D$2:H$7,5,0),99),1,0)</f>
        <v>0</v>
      </c>
      <c r="AD191" s="46">
        <f>IF(Esiehdot!E$5=IFERROR(VLOOKUP(F191,Valintalistat!E$2:H$5,4,0),99),1,0)</f>
        <v>0</v>
      </c>
      <c r="AE191" s="46">
        <f>IF(Esiehdot!E$6=IFERROR(VLOOKUP(G191,Valintalistat!F$2:H$5,3,0),99),1,0)</f>
        <v>0</v>
      </c>
      <c r="AF191" s="46">
        <f>IF(Esiehdot!E$8=IFERROR(VLOOKUP(H191,Valintalistat!G$2:H$3,2,0),98),1,0)</f>
        <v>0</v>
      </c>
      <c r="AG191" s="46">
        <f t="shared" si="21"/>
        <v>0</v>
      </c>
      <c r="AH191" s="46">
        <f>IFERROR(HLOOKUP(Esiehdot!$B$17,Käyttötapauskriteerit!G$1:P191,191,0),1)</f>
        <v>1</v>
      </c>
      <c r="AI191" s="46">
        <f t="shared" si="22"/>
        <v>0</v>
      </c>
      <c r="AJ191" s="46">
        <f t="shared" si="23"/>
        <v>0</v>
      </c>
      <c r="AK191" s="46">
        <f t="shared" si="24"/>
        <v>0</v>
      </c>
      <c r="AL191" s="46">
        <f t="shared" si="25"/>
        <v>0</v>
      </c>
      <c r="AM191" s="46"/>
      <c r="AN191" s="45" t="str">
        <f t="shared" si="26"/>
        <v/>
      </c>
      <c r="XDQ191" s="5"/>
      <c r="XDR191" s="5"/>
      <c r="XDS191" s="22"/>
      <c r="XDT191" s="22"/>
      <c r="XDU191" s="17"/>
      <c r="XDV191" s="17"/>
      <c r="XDW191" s="17"/>
      <c r="XDX191" s="17"/>
      <c r="XDY191" s="17"/>
      <c r="XDZ191" s="17"/>
      <c r="XEA191" s="17"/>
      <c r="XEB191" s="32"/>
      <c r="XEC191" s="23"/>
      <c r="XED191" s="23"/>
      <c r="XEE191" s="23"/>
      <c r="XEF191" s="9"/>
      <c r="XEG191" s="9"/>
      <c r="XEH191" s="9"/>
      <c r="XEI191" s="9"/>
      <c r="XEK191" s="5"/>
      <c r="XEL191" s="5"/>
      <c r="XEM191" s="22"/>
      <c r="XEN191" s="22"/>
      <c r="XEO191" s="17"/>
      <c r="XEP191" s="17"/>
      <c r="XEQ191" s="17"/>
      <c r="XER191" s="17"/>
      <c r="XES191" s="17"/>
      <c r="XET191" s="17"/>
      <c r="XEU191" s="17"/>
      <c r="XEV191" s="32"/>
      <c r="XEW191" s="23"/>
      <c r="XEX191" s="23"/>
      <c r="XEY191" s="23"/>
      <c r="XEZ191" s="9"/>
      <c r="XFA191" s="9"/>
      <c r="XFB191" s="9"/>
      <c r="XFC191" s="9"/>
    </row>
    <row r="192" spans="1:40 16325:16383" ht="15.6">
      <c r="A192" s="5"/>
      <c r="B192" s="5"/>
      <c r="E192" s="17"/>
      <c r="F192" s="17"/>
      <c r="G192" s="17"/>
      <c r="H192" s="17"/>
      <c r="I192" s="17"/>
      <c r="J192" s="17"/>
      <c r="K192" s="17"/>
      <c r="L192" s="32"/>
      <c r="M192" s="61"/>
      <c r="N192" s="23"/>
      <c r="O192" s="23"/>
      <c r="P192" s="9"/>
      <c r="Q192" s="9"/>
      <c r="R192" s="9"/>
      <c r="S192" s="9"/>
      <c r="U192" s="42" t="str">
        <f t="shared" si="18"/>
        <v>, L:, E:, S:, TS:</v>
      </c>
      <c r="V192" s="46" t="str">
        <f t="shared" si="19"/>
        <v/>
      </c>
      <c r="W192" s="46">
        <f>IFERROR(VLOOKUP(A192,Esiehdot!A$11:D$15,4,0), 0)</f>
        <v>0</v>
      </c>
      <c r="X192" s="46">
        <f>IF(Esiehdot!D$4&gt;=IFERROR(VLOOKUP(E192,Valintalistat!D$2:H$7,5,0), 99),1,0)</f>
        <v>0</v>
      </c>
      <c r="Y192" s="46">
        <f>IF(Esiehdot!D$5&gt;=IFERROR(VLOOKUP(F192,Valintalistat!E$2:H$5,4,0), 99),1,0)</f>
        <v>0</v>
      </c>
      <c r="Z192" s="46">
        <f>IF(Esiehdot!D$6&gt;=IFERROR(VLOOKUP(G192,Valintalistat!F$2:H$5,3,0),99),1,0)</f>
        <v>0</v>
      </c>
      <c r="AA192" s="46">
        <f>IF(Esiehdot!D$8&gt;=IFERROR(VLOOKUP(H192,Valintalistat!G$2:H$5,2,0),99),1,0)</f>
        <v>0</v>
      </c>
      <c r="AB192" s="46">
        <f t="shared" si="20"/>
        <v>0</v>
      </c>
      <c r="AC192" s="46">
        <f>IF(Esiehdot!E$4=IFERROR(VLOOKUP(E192,Valintalistat!D$2:H$7,5,0),99),1,0)</f>
        <v>0</v>
      </c>
      <c r="AD192" s="46">
        <f>IF(Esiehdot!E$5=IFERROR(VLOOKUP(F192,Valintalistat!E$2:H$5,4,0),99),1,0)</f>
        <v>0</v>
      </c>
      <c r="AE192" s="46">
        <f>IF(Esiehdot!E$6=IFERROR(VLOOKUP(G192,Valintalistat!F$2:H$5,3,0),99),1,0)</f>
        <v>0</v>
      </c>
      <c r="AF192" s="46">
        <f>IF(Esiehdot!E$8=IFERROR(VLOOKUP(H192,Valintalistat!G$2:H$3,2,0),98),1,0)</f>
        <v>0</v>
      </c>
      <c r="AG192" s="46">
        <f t="shared" si="21"/>
        <v>0</v>
      </c>
      <c r="AH192" s="46">
        <f>IFERROR(HLOOKUP(Esiehdot!$B$17,Käyttötapauskriteerit!G$1:P192,192,0),1)</f>
        <v>1</v>
      </c>
      <c r="AI192" s="46">
        <f t="shared" si="22"/>
        <v>0</v>
      </c>
      <c r="AJ192" s="46">
        <f t="shared" si="23"/>
        <v>0</v>
      </c>
      <c r="AK192" s="46">
        <f t="shared" si="24"/>
        <v>0</v>
      </c>
      <c r="AL192" s="46">
        <f t="shared" si="25"/>
        <v>0</v>
      </c>
      <c r="AM192" s="46"/>
      <c r="AN192" s="45" t="str">
        <f t="shared" si="26"/>
        <v/>
      </c>
      <c r="XCW192" s="5"/>
      <c r="XCX192" s="5"/>
      <c r="XCY192" s="22"/>
      <c r="XCZ192" s="22"/>
      <c r="XDA192" s="17"/>
      <c r="XDB192" s="17"/>
      <c r="XDC192" s="17"/>
      <c r="XDD192" s="17"/>
      <c r="XDE192" s="17"/>
      <c r="XDF192" s="17"/>
      <c r="XDG192" s="17"/>
      <c r="XDH192" s="32"/>
      <c r="XDI192" s="23"/>
      <c r="XDJ192" s="23"/>
      <c r="XDK192" s="23"/>
      <c r="XDL192" s="9"/>
      <c r="XDM192" s="9"/>
      <c r="XDN192" s="9"/>
      <c r="XDO192" s="9"/>
      <c r="XDQ192" s="5"/>
      <c r="XDR192" s="5"/>
      <c r="XDS192" s="22"/>
      <c r="XDT192" s="22"/>
      <c r="XDU192" s="17"/>
      <c r="XDV192" s="17"/>
      <c r="XDW192" s="17"/>
      <c r="XDX192" s="17"/>
      <c r="XDY192" s="17"/>
      <c r="XDZ192" s="17"/>
      <c r="XEA192" s="17"/>
      <c r="XEB192" s="32"/>
      <c r="XEC192" s="23"/>
      <c r="XED192" s="23"/>
      <c r="XEE192" s="23"/>
      <c r="XEF192" s="9"/>
      <c r="XEG192" s="9"/>
      <c r="XEH192" s="9"/>
      <c r="XEI192" s="9"/>
      <c r="XEK192" s="5"/>
      <c r="XEL192" s="5"/>
      <c r="XEM192" s="22"/>
      <c r="XEN192" s="22"/>
      <c r="XEO192" s="17"/>
      <c r="XEP192" s="17"/>
      <c r="XEQ192" s="17"/>
      <c r="XER192" s="17"/>
      <c r="XES192" s="17"/>
      <c r="XET192" s="17"/>
      <c r="XEU192" s="17"/>
      <c r="XEV192" s="32"/>
      <c r="XEW192" s="23"/>
      <c r="XEX192" s="23"/>
      <c r="XEY192" s="23"/>
      <c r="XEZ192" s="9"/>
      <c r="XFA192" s="9"/>
      <c r="XFB192" s="9"/>
      <c r="XFC192" s="9"/>
    </row>
    <row r="193" spans="1:40 16365:16383" ht="15.6">
      <c r="A193" s="5"/>
      <c r="B193" s="5"/>
      <c r="E193" s="17"/>
      <c r="F193" s="17"/>
      <c r="G193" s="17"/>
      <c r="H193" s="17"/>
      <c r="I193" s="17"/>
      <c r="J193" s="17"/>
      <c r="K193" s="17"/>
      <c r="L193" s="32"/>
      <c r="M193" s="61"/>
      <c r="N193" s="23"/>
      <c r="O193" s="23"/>
      <c r="P193" s="9"/>
      <c r="Q193" s="9"/>
      <c r="R193" s="9"/>
      <c r="S193" s="9"/>
      <c r="U193" s="42" t="str">
        <f t="shared" si="18"/>
        <v>, L:, E:, S:, TS:</v>
      </c>
      <c r="V193" s="42" t="str">
        <f t="shared" si="19"/>
        <v/>
      </c>
      <c r="W193" s="43">
        <f>IFERROR(VLOOKUP(A193,Esiehdot!A$11:D$15,4,0), 0)</f>
        <v>0</v>
      </c>
      <c r="X193" s="44">
        <f>IF(Esiehdot!D$4&gt;=IFERROR(VLOOKUP(E193,Valintalistat!D$2:H$7,5,0), 99),1,0)</f>
        <v>0</v>
      </c>
      <c r="Y193" s="44">
        <f>IF(Esiehdot!D$5&gt;=IFERROR(VLOOKUP(F193,Valintalistat!E$2:H$5,4,0), 99),1,0)</f>
        <v>0</v>
      </c>
      <c r="Z193" s="44">
        <f>IF(Esiehdot!D$6&gt;=IFERROR(VLOOKUP(G193,Valintalistat!F$2:H$5,3,0),99),1,0)</f>
        <v>0</v>
      </c>
      <c r="AA193" s="44">
        <f>IF(Esiehdot!D$8&gt;=IFERROR(VLOOKUP(H193,Valintalistat!G$2:H$5,2,0),99),1,0)</f>
        <v>0</v>
      </c>
      <c r="AB193" s="43">
        <f t="shared" si="20"/>
        <v>0</v>
      </c>
      <c r="AC193" s="44">
        <f>IF(Esiehdot!E$4=IFERROR(VLOOKUP(E193,Valintalistat!D$2:H$7,5,0),99),1,0)</f>
        <v>0</v>
      </c>
      <c r="AD193" s="44">
        <f>IF(Esiehdot!E$5=IFERROR(VLOOKUP(F193,Valintalistat!E$2:H$5,4,0),99),1,0)</f>
        <v>0</v>
      </c>
      <c r="AE193" s="44">
        <f>IF(Esiehdot!E$6=IFERROR(VLOOKUP(G193,Valintalistat!F$2:H$5,3,0),99),1,0)</f>
        <v>0</v>
      </c>
      <c r="AF193" s="44">
        <f>IF(Esiehdot!E$8=IFERROR(VLOOKUP(H193,Valintalistat!G$2:H$3,2,0),98),1,0)</f>
        <v>0</v>
      </c>
      <c r="AG193" s="43">
        <f t="shared" si="21"/>
        <v>0</v>
      </c>
      <c r="AH193" s="43">
        <f>IFERROR(HLOOKUP(Esiehdot!$B$17,Käyttötapauskriteerit!G$1:P193,193,0),1)</f>
        <v>1</v>
      </c>
      <c r="AI193" s="43">
        <f t="shared" si="22"/>
        <v>0</v>
      </c>
      <c r="AJ193" s="43">
        <f t="shared" si="23"/>
        <v>0</v>
      </c>
      <c r="AK193" s="43">
        <f t="shared" si="24"/>
        <v>0</v>
      </c>
      <c r="AL193" s="43">
        <f t="shared" si="25"/>
        <v>0</v>
      </c>
      <c r="AM193" s="43"/>
      <c r="AN193" s="45" t="str">
        <f t="shared" si="26"/>
        <v/>
      </c>
    </row>
    <row r="194" spans="1:40 16365:16383" ht="15.6">
      <c r="A194" s="5"/>
      <c r="B194" s="5"/>
      <c r="E194" s="17"/>
      <c r="F194" s="17"/>
      <c r="G194" s="17"/>
      <c r="H194" s="17"/>
      <c r="I194" s="17"/>
      <c r="J194" s="17"/>
      <c r="K194" s="17"/>
      <c r="L194" s="32"/>
      <c r="M194" s="61"/>
      <c r="N194" s="23"/>
      <c r="O194" s="23"/>
      <c r="P194" s="9"/>
      <c r="Q194" s="9"/>
      <c r="R194" s="9"/>
      <c r="S194" s="9"/>
      <c r="U194" s="42" t="str">
        <f t="shared" si="18"/>
        <v>, L:, E:, S:, TS:</v>
      </c>
      <c r="V194" s="42" t="str">
        <f t="shared" si="19"/>
        <v/>
      </c>
      <c r="W194" s="43">
        <f>IFERROR(VLOOKUP(A194,Esiehdot!A$11:D$15,4,0), 0)</f>
        <v>0</v>
      </c>
      <c r="X194" s="44">
        <f>IF(Esiehdot!D$4&gt;=IFERROR(VLOOKUP(E194,Valintalistat!D$2:H$7,5,0), 99),1,0)</f>
        <v>0</v>
      </c>
      <c r="Y194" s="44">
        <f>IF(Esiehdot!D$5&gt;=IFERROR(VLOOKUP(F194,Valintalistat!E$2:H$5,4,0), 99),1,0)</f>
        <v>0</v>
      </c>
      <c r="Z194" s="44">
        <f>IF(Esiehdot!D$6&gt;=IFERROR(VLOOKUP(G194,Valintalistat!F$2:H$5,3,0),99),1,0)</f>
        <v>0</v>
      </c>
      <c r="AA194" s="44">
        <f>IF(Esiehdot!D$8&gt;=IFERROR(VLOOKUP(H194,Valintalistat!G$2:H$5,2,0),99),1,0)</f>
        <v>0</v>
      </c>
      <c r="AB194" s="43">
        <f t="shared" si="20"/>
        <v>0</v>
      </c>
      <c r="AC194" s="44">
        <f>IF(Esiehdot!E$4=IFERROR(VLOOKUP(E194,Valintalistat!D$2:H$7,5,0),99),1,0)</f>
        <v>0</v>
      </c>
      <c r="AD194" s="44">
        <f>IF(Esiehdot!E$5=IFERROR(VLOOKUP(F194,Valintalistat!E$2:H$5,4,0),99),1,0)</f>
        <v>0</v>
      </c>
      <c r="AE194" s="44">
        <f>IF(Esiehdot!E$6=IFERROR(VLOOKUP(G194,Valintalistat!F$2:H$5,3,0),99),1,0)</f>
        <v>0</v>
      </c>
      <c r="AF194" s="44">
        <f>IF(Esiehdot!E$8=IFERROR(VLOOKUP(H194,Valintalistat!G$2:H$3,2,0),98),1,0)</f>
        <v>0</v>
      </c>
      <c r="AG194" s="43">
        <f t="shared" si="21"/>
        <v>0</v>
      </c>
      <c r="AH194" s="43">
        <f>IFERROR(HLOOKUP(Esiehdot!$B$17,Käyttötapauskriteerit!G$1:P194,194,0),1)</f>
        <v>1</v>
      </c>
      <c r="AI194" s="43">
        <f t="shared" si="22"/>
        <v>0</v>
      </c>
      <c r="AJ194" s="43">
        <f t="shared" si="23"/>
        <v>0</v>
      </c>
      <c r="AK194" s="43">
        <f t="shared" si="24"/>
        <v>0</v>
      </c>
      <c r="AL194" s="43">
        <f t="shared" si="25"/>
        <v>0</v>
      </c>
      <c r="AM194" s="43"/>
      <c r="AN194" s="45" t="str">
        <f t="shared" si="26"/>
        <v/>
      </c>
    </row>
    <row r="195" spans="1:40 16365:16383" ht="15.6">
      <c r="A195" s="5"/>
      <c r="B195" s="5"/>
      <c r="E195" s="17"/>
      <c r="F195" s="17"/>
      <c r="G195" s="17"/>
      <c r="H195" s="17"/>
      <c r="I195" s="17"/>
      <c r="J195" s="17"/>
      <c r="K195" s="17"/>
      <c r="L195" s="32"/>
      <c r="M195" s="61"/>
      <c r="N195" s="23"/>
      <c r="O195" s="23"/>
      <c r="P195" s="9"/>
      <c r="Q195" s="9"/>
      <c r="R195" s="9"/>
      <c r="S195" s="9"/>
      <c r="U195" s="42" t="str">
        <f t="shared" ref="U195:U258" si="27">CONCATENATE(C195,", L:",E195,", E:",F195,", S:",G195,", TS:",H195)</f>
        <v>, L:, E:, S:, TS:</v>
      </c>
      <c r="V195" s="42" t="str">
        <f t="shared" ref="V195:V258" si="28">IF(R195="",IF(S195="","",CONCATENATE("Katakri: ",S195)),IF(S195="",CONCATENATE("Julkri: ",R195),CONCATENATE("Julkri: ",R195,"; Katakri: ",S195)))</f>
        <v/>
      </c>
      <c r="W195" s="43">
        <f>IFERROR(VLOOKUP(A195,Esiehdot!A$11:D$15,4,0), 0)</f>
        <v>0</v>
      </c>
      <c r="X195" s="44">
        <f>IF(Esiehdot!D$4&gt;=IFERROR(VLOOKUP(E195,Valintalistat!D$2:H$7,5,0), 99),1,0)</f>
        <v>0</v>
      </c>
      <c r="Y195" s="44">
        <f>IF(Esiehdot!D$5&gt;=IFERROR(VLOOKUP(F195,Valintalistat!E$2:H$5,4,0), 99),1,0)</f>
        <v>0</v>
      </c>
      <c r="Z195" s="44">
        <f>IF(Esiehdot!D$6&gt;=IFERROR(VLOOKUP(G195,Valintalistat!F$2:H$5,3,0),99),1,0)</f>
        <v>0</v>
      </c>
      <c r="AA195" s="44">
        <f>IF(Esiehdot!D$8&gt;=IFERROR(VLOOKUP(H195,Valintalistat!G$2:H$5,2,0),99),1,0)</f>
        <v>0</v>
      </c>
      <c r="AB195" s="43">
        <f t="shared" ref="AB195:AB258" si="29">IF(X195+Y195+Z195+AA195=0,0,1)</f>
        <v>0</v>
      </c>
      <c r="AC195" s="44">
        <f>IF(Esiehdot!E$4=IFERROR(VLOOKUP(E195,Valintalistat!D$2:H$7,5,0),99),1,0)</f>
        <v>0</v>
      </c>
      <c r="AD195" s="44">
        <f>IF(Esiehdot!E$5=IFERROR(VLOOKUP(F195,Valintalistat!E$2:H$5,4,0),99),1,0)</f>
        <v>0</v>
      </c>
      <c r="AE195" s="44">
        <f>IF(Esiehdot!E$6=IFERROR(VLOOKUP(G195,Valintalistat!F$2:H$5,3,0),99),1,0)</f>
        <v>0</v>
      </c>
      <c r="AF195" s="44">
        <f>IF(Esiehdot!E$8=IFERROR(VLOOKUP(H195,Valintalistat!G$2:H$3,2,0),98),1,0)</f>
        <v>0</v>
      </c>
      <c r="AG195" s="43">
        <f t="shared" ref="AG195:AG258" si="30">IF(AC195+AD195+AE195+AF195&gt;X195+Y195+Z195+AA195,1,0)</f>
        <v>0</v>
      </c>
      <c r="AH195" s="43">
        <f>IFERROR(HLOOKUP(Esiehdot!$B$17,Käyttötapauskriteerit!G$1:P195,195,0),1)</f>
        <v>1</v>
      </c>
      <c r="AI195" s="43">
        <f t="shared" ref="AI195:AI258" si="31">IF(W195*AB195*AH195=1,1,0)</f>
        <v>0</v>
      </c>
      <c r="AJ195" s="43">
        <f t="shared" ref="AJ195:AJ258" si="32">IF(W195*AB195*AH195=2,1,0)</f>
        <v>0</v>
      </c>
      <c r="AK195" s="43">
        <f t="shared" ref="AK195:AK258" si="33">IF(W195*AG195*AH195=1,1,0)</f>
        <v>0</v>
      </c>
      <c r="AL195" s="43">
        <f t="shared" ref="AL195:AL258" si="34">IF(W195*AG195*AH195=2,1,0)</f>
        <v>0</v>
      </c>
      <c r="AM195" s="43"/>
      <c r="AN195" s="45" t="str">
        <f t="shared" ref="AN195:AN258" si="35">IF(C195="","",IF(AI195=1,"Olennainen",IF(AJ195=1,"Valinnainen",IF(AK195=1,"Valinnainen",IF(AL195=1,"Valinnainen","Ei ehdoteta hankintaan")))))</f>
        <v/>
      </c>
    </row>
    <row r="196" spans="1:40 16365:16383" ht="15.6">
      <c r="A196" s="5"/>
      <c r="B196" s="5"/>
      <c r="E196" s="17"/>
      <c r="F196" s="17"/>
      <c r="G196" s="17"/>
      <c r="H196" s="17"/>
      <c r="I196" s="17"/>
      <c r="J196" s="17"/>
      <c r="K196" s="17"/>
      <c r="L196" s="32"/>
      <c r="M196" s="61"/>
      <c r="N196" s="23"/>
      <c r="O196" s="23"/>
      <c r="P196" s="9"/>
      <c r="Q196" s="9"/>
      <c r="R196" s="9"/>
      <c r="S196" s="9"/>
      <c r="U196" s="42" t="str">
        <f t="shared" si="27"/>
        <v>, L:, E:, S:, TS:</v>
      </c>
      <c r="V196" s="46" t="str">
        <f t="shared" si="28"/>
        <v/>
      </c>
      <c r="W196" s="46">
        <f>IFERROR(VLOOKUP(A196,Esiehdot!A$11:D$15,4,0), 0)</f>
        <v>0</v>
      </c>
      <c r="X196" s="46">
        <f>IF(Esiehdot!D$4&gt;=IFERROR(VLOOKUP(E196,Valintalistat!D$2:H$7,5,0), 99),1,0)</f>
        <v>0</v>
      </c>
      <c r="Y196" s="46">
        <f>IF(Esiehdot!D$5&gt;=IFERROR(VLOOKUP(F196,Valintalistat!E$2:H$5,4,0), 99),1,0)</f>
        <v>0</v>
      </c>
      <c r="Z196" s="46">
        <f>IF(Esiehdot!D$6&gt;=IFERROR(VLOOKUP(G196,Valintalistat!F$2:H$5,3,0),99),1,0)</f>
        <v>0</v>
      </c>
      <c r="AA196" s="46">
        <f>IF(Esiehdot!D$8&gt;=IFERROR(VLOOKUP(H196,Valintalistat!G$2:H$5,2,0),99),1,0)</f>
        <v>0</v>
      </c>
      <c r="AB196" s="46">
        <f t="shared" si="29"/>
        <v>0</v>
      </c>
      <c r="AC196" s="46">
        <f>IF(Esiehdot!E$4=IFERROR(VLOOKUP(E196,Valintalistat!D$2:H$7,5,0),99),1,0)</f>
        <v>0</v>
      </c>
      <c r="AD196" s="46">
        <f>IF(Esiehdot!E$5=IFERROR(VLOOKUP(F196,Valintalistat!E$2:H$5,4,0),99),1,0)</f>
        <v>0</v>
      </c>
      <c r="AE196" s="46">
        <f>IF(Esiehdot!E$6=IFERROR(VLOOKUP(G196,Valintalistat!F$2:H$5,3,0),99),1,0)</f>
        <v>0</v>
      </c>
      <c r="AF196" s="46">
        <f>IF(Esiehdot!E$8=IFERROR(VLOOKUP(H196,Valintalistat!G$2:H$3,2,0),98),1,0)</f>
        <v>0</v>
      </c>
      <c r="AG196" s="46">
        <f t="shared" si="30"/>
        <v>0</v>
      </c>
      <c r="AH196" s="46">
        <f>IFERROR(HLOOKUP(Esiehdot!$B$17,Käyttötapauskriteerit!G$1:P196,196,0),1)</f>
        <v>1</v>
      </c>
      <c r="AI196" s="46">
        <f t="shared" si="31"/>
        <v>0</v>
      </c>
      <c r="AJ196" s="46">
        <f t="shared" si="32"/>
        <v>0</v>
      </c>
      <c r="AK196" s="46">
        <f t="shared" si="33"/>
        <v>0</v>
      </c>
      <c r="AL196" s="46">
        <f t="shared" si="34"/>
        <v>0</v>
      </c>
      <c r="AM196" s="46"/>
      <c r="AN196" s="45" t="str">
        <f t="shared" si="35"/>
        <v/>
      </c>
      <c r="XEK196" s="5"/>
      <c r="XEL196" s="5"/>
      <c r="XEM196" s="22"/>
      <c r="XEN196" s="22"/>
      <c r="XEO196" s="17"/>
      <c r="XEP196" s="17"/>
      <c r="XEQ196" s="17"/>
      <c r="XER196" s="17"/>
      <c r="XES196" s="17"/>
      <c r="XET196" s="17"/>
      <c r="XEU196" s="17"/>
      <c r="XEV196" s="32"/>
      <c r="XEW196" s="23"/>
      <c r="XEX196" s="23"/>
      <c r="XEY196" s="23"/>
      <c r="XEZ196" s="9"/>
      <c r="XFA196" s="9"/>
      <c r="XFB196" s="9"/>
      <c r="XFC196" s="9"/>
    </row>
    <row r="197" spans="1:40 16365:16383" ht="15.6">
      <c r="A197" s="5"/>
      <c r="B197" s="5"/>
      <c r="E197" s="17"/>
      <c r="F197" s="17"/>
      <c r="G197" s="17"/>
      <c r="H197" s="17"/>
      <c r="I197" s="17"/>
      <c r="J197" s="17"/>
      <c r="K197" s="17"/>
      <c r="L197" s="32"/>
      <c r="M197" s="61"/>
      <c r="N197" s="23"/>
      <c r="O197" s="23"/>
      <c r="P197" s="9"/>
      <c r="Q197" s="9"/>
      <c r="R197" s="9"/>
      <c r="S197" s="9"/>
      <c r="U197" s="42" t="str">
        <f t="shared" si="27"/>
        <v>, L:, E:, S:, TS:</v>
      </c>
      <c r="V197" s="46" t="str">
        <f t="shared" si="28"/>
        <v/>
      </c>
      <c r="W197" s="46">
        <f>IFERROR(VLOOKUP(A197,Esiehdot!A$11:D$15,4,0), 0)</f>
        <v>0</v>
      </c>
      <c r="X197" s="46">
        <f>IF(Esiehdot!D$4&gt;=IFERROR(VLOOKUP(E197,Valintalistat!D$2:H$7,5,0), 99),1,0)</f>
        <v>0</v>
      </c>
      <c r="Y197" s="46">
        <f>IF(Esiehdot!D$5&gt;=IFERROR(VLOOKUP(F197,Valintalistat!E$2:H$5,4,0), 99),1,0)</f>
        <v>0</v>
      </c>
      <c r="Z197" s="46">
        <f>IF(Esiehdot!D$6&gt;=IFERROR(VLOOKUP(G197,Valintalistat!F$2:H$5,3,0),99),1,0)</f>
        <v>0</v>
      </c>
      <c r="AA197" s="46">
        <f>IF(Esiehdot!D$8&gt;=IFERROR(VLOOKUP(H197,Valintalistat!G$2:H$5,2,0),99),1,0)</f>
        <v>0</v>
      </c>
      <c r="AB197" s="46">
        <f t="shared" si="29"/>
        <v>0</v>
      </c>
      <c r="AC197" s="46">
        <f>IF(Esiehdot!E$4=IFERROR(VLOOKUP(E197,Valintalistat!D$2:H$7,5,0),99),1,0)</f>
        <v>0</v>
      </c>
      <c r="AD197" s="46">
        <f>IF(Esiehdot!E$5=IFERROR(VLOOKUP(F197,Valintalistat!E$2:H$5,4,0),99),1,0)</f>
        <v>0</v>
      </c>
      <c r="AE197" s="46">
        <f>IF(Esiehdot!E$6=IFERROR(VLOOKUP(G197,Valintalistat!F$2:H$5,3,0),99),1,0)</f>
        <v>0</v>
      </c>
      <c r="AF197" s="46">
        <f>IF(Esiehdot!E$8=IFERROR(VLOOKUP(H197,Valintalistat!G$2:H$3,2,0),98),1,0)</f>
        <v>0</v>
      </c>
      <c r="AG197" s="46">
        <f t="shared" si="30"/>
        <v>0</v>
      </c>
      <c r="AH197" s="46">
        <f>IFERROR(HLOOKUP(Esiehdot!$B$17,Käyttötapauskriteerit!G$1:P197,197,0),1)</f>
        <v>1</v>
      </c>
      <c r="AI197" s="46">
        <f t="shared" si="31"/>
        <v>0</v>
      </c>
      <c r="AJ197" s="46">
        <f t="shared" si="32"/>
        <v>0</v>
      </c>
      <c r="AK197" s="46">
        <f t="shared" si="33"/>
        <v>0</v>
      </c>
      <c r="AL197" s="46">
        <f t="shared" si="34"/>
        <v>0</v>
      </c>
      <c r="AM197" s="46"/>
      <c r="AN197" s="45" t="str">
        <f t="shared" si="35"/>
        <v/>
      </c>
      <c r="XEK197" s="5"/>
      <c r="XEL197" s="5"/>
      <c r="XEM197" s="22"/>
      <c r="XEN197" s="22"/>
      <c r="XEO197" s="17"/>
      <c r="XEP197" s="17"/>
      <c r="XEQ197" s="17"/>
      <c r="XER197" s="17"/>
      <c r="XES197" s="17"/>
      <c r="XET197" s="17"/>
      <c r="XEU197" s="17"/>
      <c r="XEV197" s="32"/>
      <c r="XEW197" s="23"/>
      <c r="XEX197" s="23"/>
      <c r="XEY197" s="23"/>
      <c r="XEZ197" s="9"/>
      <c r="XFA197" s="9"/>
      <c r="XFB197" s="9"/>
      <c r="XFC197" s="9"/>
    </row>
    <row r="198" spans="1:40 16365:16383" ht="15.6">
      <c r="A198" s="5"/>
      <c r="B198" s="5"/>
      <c r="E198" s="17"/>
      <c r="F198" s="17"/>
      <c r="G198" s="17"/>
      <c r="H198" s="17"/>
      <c r="I198" s="17"/>
      <c r="J198" s="17"/>
      <c r="K198" s="17"/>
      <c r="L198" s="32"/>
      <c r="M198" s="61"/>
      <c r="N198" s="23"/>
      <c r="O198" s="23"/>
      <c r="P198" s="9"/>
      <c r="Q198" s="9"/>
      <c r="R198" s="9"/>
      <c r="S198" s="9"/>
      <c r="U198" s="42" t="str">
        <f t="shared" si="27"/>
        <v>, L:, E:, S:, TS:</v>
      </c>
      <c r="V198" s="46" t="str">
        <f t="shared" si="28"/>
        <v/>
      </c>
      <c r="W198" s="46">
        <f>IFERROR(VLOOKUP(A198,Esiehdot!A$11:D$15,4,0), 0)</f>
        <v>0</v>
      </c>
      <c r="X198" s="46">
        <f>IF(Esiehdot!D$4&gt;=IFERROR(VLOOKUP(E198,Valintalistat!D$2:H$7,5,0), 99),1,0)</f>
        <v>0</v>
      </c>
      <c r="Y198" s="46">
        <f>IF(Esiehdot!D$5&gt;=IFERROR(VLOOKUP(F198,Valintalistat!E$2:H$5,4,0), 99),1,0)</f>
        <v>0</v>
      </c>
      <c r="Z198" s="46">
        <f>IF(Esiehdot!D$6&gt;=IFERROR(VLOOKUP(G198,Valintalistat!F$2:H$5,3,0),99),1,0)</f>
        <v>0</v>
      </c>
      <c r="AA198" s="46">
        <f>IF(Esiehdot!D$8&gt;=IFERROR(VLOOKUP(H198,Valintalistat!G$2:H$5,2,0),99),1,0)</f>
        <v>0</v>
      </c>
      <c r="AB198" s="46">
        <f t="shared" si="29"/>
        <v>0</v>
      </c>
      <c r="AC198" s="46">
        <f>IF(Esiehdot!E$4=IFERROR(VLOOKUP(E198,Valintalistat!D$2:H$7,5,0),99),1,0)</f>
        <v>0</v>
      </c>
      <c r="AD198" s="46">
        <f>IF(Esiehdot!E$5=IFERROR(VLOOKUP(F198,Valintalistat!E$2:H$5,4,0),99),1,0)</f>
        <v>0</v>
      </c>
      <c r="AE198" s="46">
        <f>IF(Esiehdot!E$6=IFERROR(VLOOKUP(G198,Valintalistat!F$2:H$5,3,0),99),1,0)</f>
        <v>0</v>
      </c>
      <c r="AF198" s="46">
        <f>IF(Esiehdot!E$8=IFERROR(VLOOKUP(H198,Valintalistat!G$2:H$3,2,0),98),1,0)</f>
        <v>0</v>
      </c>
      <c r="AG198" s="46">
        <f t="shared" si="30"/>
        <v>0</v>
      </c>
      <c r="AH198" s="46">
        <f>IFERROR(HLOOKUP(Esiehdot!$B$17,Käyttötapauskriteerit!G$1:P198,198,0),1)</f>
        <v>1</v>
      </c>
      <c r="AI198" s="46">
        <f t="shared" si="31"/>
        <v>0</v>
      </c>
      <c r="AJ198" s="46">
        <f t="shared" si="32"/>
        <v>0</v>
      </c>
      <c r="AK198" s="46">
        <f t="shared" si="33"/>
        <v>0</v>
      </c>
      <c r="AL198" s="46">
        <f t="shared" si="34"/>
        <v>0</v>
      </c>
      <c r="AM198" s="46"/>
      <c r="AN198" s="45" t="str">
        <f t="shared" si="35"/>
        <v/>
      </c>
      <c r="XEK198" s="5"/>
      <c r="XEL198" s="5"/>
      <c r="XEM198" s="22"/>
      <c r="XEN198" s="22"/>
      <c r="XEO198" s="17"/>
      <c r="XEP198" s="17"/>
      <c r="XEQ198" s="17"/>
      <c r="XER198" s="17"/>
      <c r="XES198" s="17"/>
      <c r="XET198" s="17"/>
      <c r="XEU198" s="17"/>
      <c r="XEV198" s="32"/>
      <c r="XEW198" s="23"/>
      <c r="XEX198" s="23"/>
      <c r="XEY198" s="23"/>
      <c r="XEZ198" s="9"/>
      <c r="XFA198" s="9"/>
      <c r="XFB198" s="9"/>
      <c r="XFC198" s="9"/>
    </row>
    <row r="199" spans="1:40 16365:16383" ht="15.6">
      <c r="A199" s="5"/>
      <c r="B199" s="5"/>
      <c r="E199" s="17"/>
      <c r="F199" s="17"/>
      <c r="G199" s="17"/>
      <c r="H199" s="17"/>
      <c r="I199" s="17"/>
      <c r="J199" s="17"/>
      <c r="K199" s="17"/>
      <c r="L199" s="32"/>
      <c r="M199" s="61"/>
      <c r="N199" s="23"/>
      <c r="O199" s="23"/>
      <c r="P199" s="9"/>
      <c r="Q199" s="9"/>
      <c r="R199" s="9"/>
      <c r="S199" s="9"/>
      <c r="U199" s="42" t="str">
        <f t="shared" si="27"/>
        <v>, L:, E:, S:, TS:</v>
      </c>
      <c r="V199" s="42" t="str">
        <f t="shared" si="28"/>
        <v/>
      </c>
      <c r="W199" s="43">
        <f>IFERROR(VLOOKUP(A199,Esiehdot!A$11:D$15,4,0), 0)</f>
        <v>0</v>
      </c>
      <c r="X199" s="44">
        <f>IF(Esiehdot!D$4&gt;=IFERROR(VLOOKUP(E199,Valintalistat!D$2:H$7,5,0), 99),1,0)</f>
        <v>0</v>
      </c>
      <c r="Y199" s="44">
        <f>IF(Esiehdot!D$5&gt;=IFERROR(VLOOKUP(F199,Valintalistat!E$2:H$5,4,0), 99),1,0)</f>
        <v>0</v>
      </c>
      <c r="Z199" s="44">
        <f>IF(Esiehdot!D$6&gt;=IFERROR(VLOOKUP(G199,Valintalistat!F$2:H$5,3,0),99),1,0)</f>
        <v>0</v>
      </c>
      <c r="AA199" s="44">
        <f>IF(Esiehdot!D$8&gt;=IFERROR(VLOOKUP(H199,Valintalistat!G$2:H$5,2,0),99),1,0)</f>
        <v>0</v>
      </c>
      <c r="AB199" s="43">
        <f t="shared" si="29"/>
        <v>0</v>
      </c>
      <c r="AC199" s="44">
        <f>IF(Esiehdot!E$4=IFERROR(VLOOKUP(E199,Valintalistat!D$2:H$7,5,0),99),1,0)</f>
        <v>0</v>
      </c>
      <c r="AD199" s="44">
        <f>IF(Esiehdot!E$5=IFERROR(VLOOKUP(F199,Valintalistat!E$2:H$5,4,0),99),1,0)</f>
        <v>0</v>
      </c>
      <c r="AE199" s="44">
        <f>IF(Esiehdot!E$6=IFERROR(VLOOKUP(G199,Valintalistat!F$2:H$5,3,0),99),1,0)</f>
        <v>0</v>
      </c>
      <c r="AF199" s="44">
        <f>IF(Esiehdot!E$8=IFERROR(VLOOKUP(H199,Valintalistat!G$2:H$3,2,0),98),1,0)</f>
        <v>0</v>
      </c>
      <c r="AG199" s="43">
        <f t="shared" si="30"/>
        <v>0</v>
      </c>
      <c r="AH199" s="43">
        <f>IFERROR(HLOOKUP(Esiehdot!$B$17,Käyttötapauskriteerit!G$1:P199,199,0),1)</f>
        <v>1</v>
      </c>
      <c r="AI199" s="43">
        <f t="shared" si="31"/>
        <v>0</v>
      </c>
      <c r="AJ199" s="43">
        <f t="shared" si="32"/>
        <v>0</v>
      </c>
      <c r="AK199" s="43">
        <f t="shared" si="33"/>
        <v>0</v>
      </c>
      <c r="AL199" s="43">
        <f t="shared" si="34"/>
        <v>0</v>
      </c>
      <c r="AM199" s="43"/>
      <c r="AN199" s="45" t="str">
        <f t="shared" si="35"/>
        <v/>
      </c>
    </row>
    <row r="200" spans="1:40 16365:16383" ht="15.6">
      <c r="A200" s="5"/>
      <c r="B200" s="5"/>
      <c r="E200" s="17"/>
      <c r="F200" s="17"/>
      <c r="G200" s="17"/>
      <c r="H200" s="17"/>
      <c r="I200" s="17"/>
      <c r="J200" s="17"/>
      <c r="K200" s="17"/>
      <c r="L200" s="32"/>
      <c r="M200" s="61"/>
      <c r="N200" s="23"/>
      <c r="O200" s="23"/>
      <c r="P200" s="9"/>
      <c r="Q200" s="9"/>
      <c r="R200" s="9"/>
      <c r="S200" s="9"/>
      <c r="U200" s="42" t="str">
        <f t="shared" si="27"/>
        <v>, L:, E:, S:, TS:</v>
      </c>
      <c r="V200" s="46" t="str">
        <f t="shared" si="28"/>
        <v/>
      </c>
      <c r="W200" s="46">
        <f>IFERROR(VLOOKUP(A200,Esiehdot!A$11:D$15,4,0), 0)</f>
        <v>0</v>
      </c>
      <c r="X200" s="46">
        <f>IF(Esiehdot!D$4&gt;=IFERROR(VLOOKUP(E200,Valintalistat!D$2:H$7,5,0), 99),1,0)</f>
        <v>0</v>
      </c>
      <c r="Y200" s="46">
        <f>IF(Esiehdot!D$5&gt;=IFERROR(VLOOKUP(F200,Valintalistat!E$2:H$5,4,0), 99),1,0)</f>
        <v>0</v>
      </c>
      <c r="Z200" s="46">
        <f>IF(Esiehdot!D$6&gt;=IFERROR(VLOOKUP(G200,Valintalistat!F$2:H$5,3,0),99),1,0)</f>
        <v>0</v>
      </c>
      <c r="AA200" s="46">
        <f>IF(Esiehdot!D$8&gt;=IFERROR(VLOOKUP(H200,Valintalistat!G$2:H$5,2,0),99),1,0)</f>
        <v>0</v>
      </c>
      <c r="AB200" s="46">
        <f t="shared" si="29"/>
        <v>0</v>
      </c>
      <c r="AC200" s="46">
        <f>IF(Esiehdot!E$4=IFERROR(VLOOKUP(E200,Valintalistat!D$2:H$7,5,0),99),1,0)</f>
        <v>0</v>
      </c>
      <c r="AD200" s="46">
        <f>IF(Esiehdot!E$5=IFERROR(VLOOKUP(F200,Valintalistat!E$2:H$5,4,0),99),1,0)</f>
        <v>0</v>
      </c>
      <c r="AE200" s="46">
        <f>IF(Esiehdot!E$6=IFERROR(VLOOKUP(G200,Valintalistat!F$2:H$5,3,0),99),1,0)</f>
        <v>0</v>
      </c>
      <c r="AF200" s="46">
        <f>IF(Esiehdot!E$8=IFERROR(VLOOKUP(H200,Valintalistat!G$2:H$3,2,0),98),1,0)</f>
        <v>0</v>
      </c>
      <c r="AG200" s="46">
        <f t="shared" si="30"/>
        <v>0</v>
      </c>
      <c r="AH200" s="46">
        <f>IFERROR(HLOOKUP(Esiehdot!$B$17,Käyttötapauskriteerit!G$1:P200,200,0),1)</f>
        <v>1</v>
      </c>
      <c r="AI200" s="46">
        <f t="shared" si="31"/>
        <v>0</v>
      </c>
      <c r="AJ200" s="46">
        <f t="shared" si="32"/>
        <v>0</v>
      </c>
      <c r="AK200" s="46">
        <f t="shared" si="33"/>
        <v>0</v>
      </c>
      <c r="AL200" s="46">
        <f t="shared" si="34"/>
        <v>0</v>
      </c>
      <c r="AM200" s="46"/>
      <c r="AN200" s="45" t="str">
        <f t="shared" si="35"/>
        <v/>
      </c>
      <c r="XEK200" s="5"/>
      <c r="XEL200" s="5"/>
      <c r="XEM200" s="22"/>
      <c r="XEN200" s="22"/>
      <c r="XEO200" s="17"/>
      <c r="XEP200" s="17"/>
      <c r="XEQ200" s="17"/>
      <c r="XER200" s="17"/>
      <c r="XES200" s="17"/>
      <c r="XET200" s="17"/>
      <c r="XEU200" s="17"/>
      <c r="XEV200" s="32"/>
      <c r="XEW200" s="23"/>
      <c r="XEX200" s="23"/>
      <c r="XEY200" s="23"/>
      <c r="XEZ200" s="9"/>
      <c r="XFA200" s="9"/>
      <c r="XFB200" s="9"/>
      <c r="XFC200" s="9"/>
    </row>
    <row r="201" spans="1:40 16365:16383" ht="15.6">
      <c r="A201" s="5"/>
      <c r="B201" s="5"/>
      <c r="E201" s="17"/>
      <c r="F201" s="17"/>
      <c r="G201" s="17"/>
      <c r="H201" s="17"/>
      <c r="I201" s="17"/>
      <c r="J201" s="17"/>
      <c r="K201" s="17"/>
      <c r="L201" s="32"/>
      <c r="M201" s="61"/>
      <c r="N201" s="23"/>
      <c r="O201" s="23"/>
      <c r="P201" s="9"/>
      <c r="Q201" s="9"/>
      <c r="R201" s="9"/>
      <c r="S201" s="9"/>
      <c r="U201" s="42" t="str">
        <f t="shared" si="27"/>
        <v>, L:, E:, S:, TS:</v>
      </c>
      <c r="V201" s="42" t="str">
        <f t="shared" si="28"/>
        <v/>
      </c>
      <c r="W201" s="43">
        <f>IFERROR(VLOOKUP(A201,Esiehdot!A$11:D$15,4,0), 0)</f>
        <v>0</v>
      </c>
      <c r="X201" s="44">
        <f>IF(Esiehdot!D$4&gt;=IFERROR(VLOOKUP(E201,Valintalistat!D$2:H$7,5,0), 99),1,0)</f>
        <v>0</v>
      </c>
      <c r="Y201" s="44">
        <f>IF(Esiehdot!D$5&gt;=IFERROR(VLOOKUP(F201,Valintalistat!E$2:H$5,4,0), 99),1,0)</f>
        <v>0</v>
      </c>
      <c r="Z201" s="44">
        <f>IF(Esiehdot!D$6&gt;=IFERROR(VLOOKUP(G201,Valintalistat!F$2:H$5,3,0),99),1,0)</f>
        <v>0</v>
      </c>
      <c r="AA201" s="44">
        <f>IF(Esiehdot!D$8&gt;=IFERROR(VLOOKUP(H201,Valintalistat!G$2:H$5,2,0),99),1,0)</f>
        <v>0</v>
      </c>
      <c r="AB201" s="43">
        <f t="shared" si="29"/>
        <v>0</v>
      </c>
      <c r="AC201" s="44">
        <f>IF(Esiehdot!E$4=IFERROR(VLOOKUP(E201,Valintalistat!D$2:H$7,5,0),99),1,0)</f>
        <v>0</v>
      </c>
      <c r="AD201" s="44">
        <f>IF(Esiehdot!E$5=IFERROR(VLOOKUP(F201,Valintalistat!E$2:H$5,4,0),99),1,0)</f>
        <v>0</v>
      </c>
      <c r="AE201" s="44">
        <f>IF(Esiehdot!E$6=IFERROR(VLOOKUP(G201,Valintalistat!F$2:H$5,3,0),99),1,0)</f>
        <v>0</v>
      </c>
      <c r="AF201" s="44">
        <f>IF(Esiehdot!E$8=IFERROR(VLOOKUP(H201,Valintalistat!G$2:H$3,2,0),98),1,0)</f>
        <v>0</v>
      </c>
      <c r="AG201" s="43">
        <f t="shared" si="30"/>
        <v>0</v>
      </c>
      <c r="AH201" s="43">
        <f>IFERROR(HLOOKUP(Esiehdot!$B$17,Käyttötapauskriteerit!G$1:P201,201,0),1)</f>
        <v>1</v>
      </c>
      <c r="AI201" s="43">
        <f t="shared" si="31"/>
        <v>0</v>
      </c>
      <c r="AJ201" s="43">
        <f t="shared" si="32"/>
        <v>0</v>
      </c>
      <c r="AK201" s="43">
        <f t="shared" si="33"/>
        <v>0</v>
      </c>
      <c r="AL201" s="43">
        <f t="shared" si="34"/>
        <v>0</v>
      </c>
      <c r="AM201" s="43"/>
      <c r="AN201" s="45" t="str">
        <f t="shared" si="35"/>
        <v/>
      </c>
    </row>
    <row r="202" spans="1:40 16365:16383" ht="15.6">
      <c r="A202" s="5"/>
      <c r="B202" s="5"/>
      <c r="E202" s="17"/>
      <c r="F202" s="17"/>
      <c r="G202" s="17"/>
      <c r="H202" s="17"/>
      <c r="I202" s="17"/>
      <c r="J202" s="17"/>
      <c r="K202" s="17"/>
      <c r="L202" s="32"/>
      <c r="M202" s="61"/>
      <c r="N202" s="23"/>
      <c r="O202" s="23"/>
      <c r="P202" s="9"/>
      <c r="Q202" s="9"/>
      <c r="R202" s="9"/>
      <c r="S202" s="9"/>
      <c r="U202" s="42" t="str">
        <f t="shared" si="27"/>
        <v>, L:, E:, S:, TS:</v>
      </c>
      <c r="V202" s="42" t="str">
        <f t="shared" si="28"/>
        <v/>
      </c>
      <c r="W202" s="43">
        <f>IFERROR(VLOOKUP(A202,Esiehdot!A$11:D$15,4,0), 0)</f>
        <v>0</v>
      </c>
      <c r="X202" s="44">
        <f>IF(Esiehdot!D$4&gt;=IFERROR(VLOOKUP(E202,Valintalistat!D$2:H$7,5,0), 99),1,0)</f>
        <v>0</v>
      </c>
      <c r="Y202" s="44">
        <f>IF(Esiehdot!D$5&gt;=IFERROR(VLOOKUP(F202,Valintalistat!E$2:H$5,4,0), 99),1,0)</f>
        <v>0</v>
      </c>
      <c r="Z202" s="44">
        <f>IF(Esiehdot!D$6&gt;=IFERROR(VLOOKUP(G202,Valintalistat!F$2:H$5,3,0),99),1,0)</f>
        <v>0</v>
      </c>
      <c r="AA202" s="44">
        <f>IF(Esiehdot!D$8&gt;=IFERROR(VLOOKUP(H202,Valintalistat!G$2:H$5,2,0),99),1,0)</f>
        <v>0</v>
      </c>
      <c r="AB202" s="43">
        <f t="shared" si="29"/>
        <v>0</v>
      </c>
      <c r="AC202" s="44">
        <f>IF(Esiehdot!E$4=IFERROR(VLOOKUP(E202,Valintalistat!D$2:H$7,5,0),99),1,0)</f>
        <v>0</v>
      </c>
      <c r="AD202" s="44">
        <f>IF(Esiehdot!E$5=IFERROR(VLOOKUP(F202,Valintalistat!E$2:H$5,4,0),99),1,0)</f>
        <v>0</v>
      </c>
      <c r="AE202" s="44">
        <f>IF(Esiehdot!E$6=IFERROR(VLOOKUP(G202,Valintalistat!F$2:H$5,3,0),99),1,0)</f>
        <v>0</v>
      </c>
      <c r="AF202" s="44">
        <f>IF(Esiehdot!E$8=IFERROR(VLOOKUP(H202,Valintalistat!G$2:H$3,2,0),98),1,0)</f>
        <v>0</v>
      </c>
      <c r="AG202" s="43">
        <f t="shared" si="30"/>
        <v>0</v>
      </c>
      <c r="AH202" s="43">
        <f>IFERROR(HLOOKUP(Esiehdot!$B$17,Käyttötapauskriteerit!G$1:P202,202,0),1)</f>
        <v>1</v>
      </c>
      <c r="AI202" s="43">
        <f t="shared" si="31"/>
        <v>0</v>
      </c>
      <c r="AJ202" s="43">
        <f t="shared" si="32"/>
        <v>0</v>
      </c>
      <c r="AK202" s="43">
        <f t="shared" si="33"/>
        <v>0</v>
      </c>
      <c r="AL202" s="43">
        <f t="shared" si="34"/>
        <v>0</v>
      </c>
      <c r="AM202" s="43"/>
      <c r="AN202" s="45" t="str">
        <f t="shared" si="35"/>
        <v/>
      </c>
    </row>
    <row r="203" spans="1:40 16365:16383" ht="15.6">
      <c r="A203" s="5"/>
      <c r="B203" s="5"/>
      <c r="E203" s="17"/>
      <c r="F203" s="17"/>
      <c r="G203" s="17"/>
      <c r="H203" s="17"/>
      <c r="I203" s="17"/>
      <c r="J203" s="17"/>
      <c r="K203" s="17"/>
      <c r="L203" s="32"/>
      <c r="M203" s="61"/>
      <c r="N203" s="23"/>
      <c r="O203" s="23"/>
      <c r="P203" s="9"/>
      <c r="Q203" s="9"/>
      <c r="R203" s="9"/>
      <c r="S203" s="9"/>
      <c r="U203" s="42" t="str">
        <f t="shared" si="27"/>
        <v>, L:, E:, S:, TS:</v>
      </c>
      <c r="V203" s="42" t="str">
        <f t="shared" si="28"/>
        <v/>
      </c>
      <c r="W203" s="43">
        <f>IFERROR(VLOOKUP(A203,Esiehdot!A$11:D$15,4,0), 0)</f>
        <v>0</v>
      </c>
      <c r="X203" s="44">
        <f>IF(Esiehdot!D$4&gt;=IFERROR(VLOOKUP(E203,Valintalistat!D$2:H$7,5,0), 99),1,0)</f>
        <v>0</v>
      </c>
      <c r="Y203" s="44">
        <f>IF(Esiehdot!D$5&gt;=IFERROR(VLOOKUP(F203,Valintalistat!E$2:H$5,4,0), 99),1,0)</f>
        <v>0</v>
      </c>
      <c r="Z203" s="44">
        <f>IF(Esiehdot!D$6&gt;=IFERROR(VLOOKUP(G203,Valintalistat!F$2:H$5,3,0),99),1,0)</f>
        <v>0</v>
      </c>
      <c r="AA203" s="44">
        <f>IF(Esiehdot!D$8&gt;=IFERROR(VLOOKUP(H203,Valintalistat!G$2:H$5,2,0),99),1,0)</f>
        <v>0</v>
      </c>
      <c r="AB203" s="43">
        <f t="shared" si="29"/>
        <v>0</v>
      </c>
      <c r="AC203" s="44">
        <f>IF(Esiehdot!E$4=IFERROR(VLOOKUP(E203,Valintalistat!D$2:H$7,5,0),99),1,0)</f>
        <v>0</v>
      </c>
      <c r="AD203" s="44">
        <f>IF(Esiehdot!E$5=IFERROR(VLOOKUP(F203,Valintalistat!E$2:H$5,4,0),99),1,0)</f>
        <v>0</v>
      </c>
      <c r="AE203" s="44">
        <f>IF(Esiehdot!E$6=IFERROR(VLOOKUP(G203,Valintalistat!F$2:H$5,3,0),99),1,0)</f>
        <v>0</v>
      </c>
      <c r="AF203" s="44">
        <f>IF(Esiehdot!E$8=IFERROR(VLOOKUP(H203,Valintalistat!G$2:H$3,2,0),98),1,0)</f>
        <v>0</v>
      </c>
      <c r="AG203" s="43">
        <f t="shared" si="30"/>
        <v>0</v>
      </c>
      <c r="AH203" s="43">
        <f>IFERROR(HLOOKUP(Esiehdot!$B$17,Käyttötapauskriteerit!G$1:P203,203,0),1)</f>
        <v>1</v>
      </c>
      <c r="AI203" s="43">
        <f t="shared" si="31"/>
        <v>0</v>
      </c>
      <c r="AJ203" s="43">
        <f t="shared" si="32"/>
        <v>0</v>
      </c>
      <c r="AK203" s="43">
        <f t="shared" si="33"/>
        <v>0</v>
      </c>
      <c r="AL203" s="43">
        <f t="shared" si="34"/>
        <v>0</v>
      </c>
      <c r="AM203" s="43"/>
      <c r="AN203" s="45" t="str">
        <f t="shared" si="35"/>
        <v/>
      </c>
    </row>
    <row r="204" spans="1:40 16365:16383" ht="15.6">
      <c r="A204" s="5"/>
      <c r="B204" s="5"/>
      <c r="E204" s="17"/>
      <c r="F204" s="17"/>
      <c r="G204" s="17"/>
      <c r="H204" s="17"/>
      <c r="I204" s="17"/>
      <c r="J204" s="17"/>
      <c r="K204" s="17"/>
      <c r="L204" s="32"/>
      <c r="M204" s="61"/>
      <c r="N204" s="23"/>
      <c r="O204" s="23"/>
      <c r="P204" s="9"/>
      <c r="Q204" s="9"/>
      <c r="R204" s="9"/>
      <c r="S204" s="9"/>
      <c r="U204" s="42" t="str">
        <f t="shared" si="27"/>
        <v>, L:, E:, S:, TS:</v>
      </c>
      <c r="V204" s="42" t="str">
        <f t="shared" si="28"/>
        <v/>
      </c>
      <c r="W204" s="43">
        <f>IFERROR(VLOOKUP(A204,Esiehdot!A$11:D$15,4,0), 0)</f>
        <v>0</v>
      </c>
      <c r="X204" s="44">
        <f>IF(Esiehdot!D$4&gt;=IFERROR(VLOOKUP(E204,Valintalistat!D$2:H$7,5,0), 99),1,0)</f>
        <v>0</v>
      </c>
      <c r="Y204" s="44">
        <f>IF(Esiehdot!D$5&gt;=IFERROR(VLOOKUP(F204,Valintalistat!E$2:H$5,4,0), 99),1,0)</f>
        <v>0</v>
      </c>
      <c r="Z204" s="44">
        <f>IF(Esiehdot!D$6&gt;=IFERROR(VLOOKUP(G204,Valintalistat!F$2:H$5,3,0),99),1,0)</f>
        <v>0</v>
      </c>
      <c r="AA204" s="44">
        <f>IF(Esiehdot!D$8&gt;=IFERROR(VLOOKUP(H204,Valintalistat!G$2:H$5,2,0),99),1,0)</f>
        <v>0</v>
      </c>
      <c r="AB204" s="43">
        <f t="shared" si="29"/>
        <v>0</v>
      </c>
      <c r="AC204" s="44">
        <f>IF(Esiehdot!E$4=IFERROR(VLOOKUP(E204,Valintalistat!D$2:H$7,5,0),99),1,0)</f>
        <v>0</v>
      </c>
      <c r="AD204" s="44">
        <f>IF(Esiehdot!E$5=IFERROR(VLOOKUP(F204,Valintalistat!E$2:H$5,4,0),99),1,0)</f>
        <v>0</v>
      </c>
      <c r="AE204" s="44">
        <f>IF(Esiehdot!E$6=IFERROR(VLOOKUP(G204,Valintalistat!F$2:H$5,3,0),99),1,0)</f>
        <v>0</v>
      </c>
      <c r="AF204" s="44">
        <f>IF(Esiehdot!E$8=IFERROR(VLOOKUP(H204,Valintalistat!G$2:H$3,2,0),98),1,0)</f>
        <v>0</v>
      </c>
      <c r="AG204" s="43">
        <f t="shared" si="30"/>
        <v>0</v>
      </c>
      <c r="AH204" s="43">
        <f>IFERROR(HLOOKUP(Esiehdot!$B$17,Käyttötapauskriteerit!G$1:P204,204,0),1)</f>
        <v>1</v>
      </c>
      <c r="AI204" s="43">
        <f t="shared" si="31"/>
        <v>0</v>
      </c>
      <c r="AJ204" s="43">
        <f t="shared" si="32"/>
        <v>0</v>
      </c>
      <c r="AK204" s="43">
        <f t="shared" si="33"/>
        <v>0</v>
      </c>
      <c r="AL204" s="43">
        <f t="shared" si="34"/>
        <v>0</v>
      </c>
      <c r="AM204" s="43"/>
      <c r="AN204" s="45" t="str">
        <f t="shared" si="35"/>
        <v/>
      </c>
    </row>
    <row r="205" spans="1:40 16365:16383" ht="15.6">
      <c r="A205" s="5"/>
      <c r="B205" s="5"/>
      <c r="E205" s="17"/>
      <c r="F205" s="17"/>
      <c r="G205" s="17"/>
      <c r="H205" s="17"/>
      <c r="I205" s="17"/>
      <c r="J205" s="17"/>
      <c r="K205" s="17"/>
      <c r="L205" s="32"/>
      <c r="M205" s="61"/>
      <c r="N205" s="23"/>
      <c r="O205" s="23"/>
      <c r="P205" s="9"/>
      <c r="Q205" s="9"/>
      <c r="R205" s="9"/>
      <c r="S205" s="9"/>
      <c r="U205" s="42" t="str">
        <f t="shared" si="27"/>
        <v>, L:, E:, S:, TS:</v>
      </c>
      <c r="V205" s="46" t="str">
        <f t="shared" si="28"/>
        <v/>
      </c>
      <c r="W205" s="46">
        <f>IFERROR(VLOOKUP(A205,Esiehdot!A$11:D$15,4,0), 0)</f>
        <v>0</v>
      </c>
      <c r="X205" s="46">
        <f>IF(Esiehdot!D$4&gt;=IFERROR(VLOOKUP(E205,Valintalistat!D$2:H$7,5,0), 99),1,0)</f>
        <v>0</v>
      </c>
      <c r="Y205" s="46">
        <f>IF(Esiehdot!D$5&gt;=IFERROR(VLOOKUP(F205,Valintalistat!E$2:H$5,4,0), 99),1,0)</f>
        <v>0</v>
      </c>
      <c r="Z205" s="46">
        <f>IF(Esiehdot!D$6&gt;=IFERROR(VLOOKUP(G205,Valintalistat!F$2:H$5,3,0),99),1,0)</f>
        <v>0</v>
      </c>
      <c r="AA205" s="46">
        <f>IF(Esiehdot!D$8&gt;=IFERROR(VLOOKUP(H205,Valintalistat!G$2:H$5,2,0),99),1,0)</f>
        <v>0</v>
      </c>
      <c r="AB205" s="46">
        <f t="shared" si="29"/>
        <v>0</v>
      </c>
      <c r="AC205" s="46">
        <f>IF(Esiehdot!E$4=IFERROR(VLOOKUP(E205,Valintalistat!D$2:H$7,5,0),99),1,0)</f>
        <v>0</v>
      </c>
      <c r="AD205" s="46">
        <f>IF(Esiehdot!E$5=IFERROR(VLOOKUP(F205,Valintalistat!E$2:H$5,4,0),99),1,0)</f>
        <v>0</v>
      </c>
      <c r="AE205" s="46">
        <f>IF(Esiehdot!E$6=IFERROR(VLOOKUP(G205,Valintalistat!F$2:H$5,3,0),99),1,0)</f>
        <v>0</v>
      </c>
      <c r="AF205" s="46">
        <f>IF(Esiehdot!E$8=IFERROR(VLOOKUP(H205,Valintalistat!G$2:H$3,2,0),98),1,0)</f>
        <v>0</v>
      </c>
      <c r="AG205" s="46">
        <f t="shared" si="30"/>
        <v>0</v>
      </c>
      <c r="AH205" s="46">
        <f>IFERROR(HLOOKUP(Esiehdot!$B$17,Käyttötapauskriteerit!G$1:P205,205,0),1)</f>
        <v>1</v>
      </c>
      <c r="AI205" s="46">
        <f t="shared" si="31"/>
        <v>0</v>
      </c>
      <c r="AJ205" s="46">
        <f t="shared" si="32"/>
        <v>0</v>
      </c>
      <c r="AK205" s="46">
        <f t="shared" si="33"/>
        <v>0</v>
      </c>
      <c r="AL205" s="46">
        <f t="shared" si="34"/>
        <v>0</v>
      </c>
      <c r="AM205" s="46"/>
      <c r="AN205" s="45" t="str">
        <f t="shared" si="35"/>
        <v/>
      </c>
      <c r="XEK205" s="5"/>
      <c r="XEL205" s="5"/>
      <c r="XEM205" s="22"/>
      <c r="XEN205" s="22"/>
      <c r="XEO205" s="17"/>
      <c r="XEP205" s="17"/>
      <c r="XEQ205" s="17"/>
      <c r="XER205" s="17"/>
      <c r="XES205" s="17"/>
      <c r="XET205" s="17"/>
      <c r="XEU205" s="17"/>
      <c r="XEV205" s="32"/>
      <c r="XEW205" s="23"/>
      <c r="XEX205" s="23"/>
      <c r="XEY205" s="23"/>
      <c r="XEZ205" s="9"/>
      <c r="XFA205" s="9"/>
      <c r="XFB205" s="9"/>
      <c r="XFC205" s="9"/>
    </row>
    <row r="206" spans="1:40 16365:16383" ht="15.6">
      <c r="A206" s="5"/>
      <c r="B206" s="5"/>
      <c r="E206" s="17"/>
      <c r="F206" s="17"/>
      <c r="G206" s="17"/>
      <c r="H206" s="17"/>
      <c r="I206" s="17"/>
      <c r="J206" s="17"/>
      <c r="K206" s="17"/>
      <c r="L206" s="32"/>
      <c r="M206" s="61"/>
      <c r="N206" s="23"/>
      <c r="O206" s="23"/>
      <c r="P206" s="9"/>
      <c r="Q206" s="9"/>
      <c r="R206" s="9"/>
      <c r="S206" s="9"/>
      <c r="U206" s="42" t="str">
        <f t="shared" si="27"/>
        <v>, L:, E:, S:, TS:</v>
      </c>
      <c r="V206" s="42" t="str">
        <f t="shared" si="28"/>
        <v/>
      </c>
      <c r="W206" s="43">
        <f>IFERROR(VLOOKUP(A206,Esiehdot!A$11:D$15,4,0), 0)</f>
        <v>0</v>
      </c>
      <c r="X206" s="44">
        <f>IF(Esiehdot!D$4&gt;=IFERROR(VLOOKUP(E206,Valintalistat!D$2:H$7,5,0), 99),1,0)</f>
        <v>0</v>
      </c>
      <c r="Y206" s="44">
        <f>IF(Esiehdot!D$5&gt;=IFERROR(VLOOKUP(F206,Valintalistat!E$2:H$5,4,0), 99),1,0)</f>
        <v>0</v>
      </c>
      <c r="Z206" s="44">
        <f>IF(Esiehdot!D$6&gt;=IFERROR(VLOOKUP(G206,Valintalistat!F$2:H$5,3,0),99),1,0)</f>
        <v>0</v>
      </c>
      <c r="AA206" s="44">
        <f>IF(Esiehdot!D$8&gt;=IFERROR(VLOOKUP(H206,Valintalistat!G$2:H$5,2,0),99),1,0)</f>
        <v>0</v>
      </c>
      <c r="AB206" s="43">
        <f t="shared" si="29"/>
        <v>0</v>
      </c>
      <c r="AC206" s="44">
        <f>IF(Esiehdot!E$4=IFERROR(VLOOKUP(E206,Valintalistat!D$2:H$7,5,0),99),1,0)</f>
        <v>0</v>
      </c>
      <c r="AD206" s="44">
        <f>IF(Esiehdot!E$5=IFERROR(VLOOKUP(F206,Valintalistat!E$2:H$5,4,0),99),1,0)</f>
        <v>0</v>
      </c>
      <c r="AE206" s="44">
        <f>IF(Esiehdot!E$6=IFERROR(VLOOKUP(G206,Valintalistat!F$2:H$5,3,0),99),1,0)</f>
        <v>0</v>
      </c>
      <c r="AF206" s="44">
        <f>IF(Esiehdot!E$8=IFERROR(VLOOKUP(H206,Valintalistat!G$2:H$3,2,0),98),1,0)</f>
        <v>0</v>
      </c>
      <c r="AG206" s="43">
        <f t="shared" si="30"/>
        <v>0</v>
      </c>
      <c r="AH206" s="43">
        <f>IFERROR(HLOOKUP(Esiehdot!$B$17,Käyttötapauskriteerit!G$1:P206,206,0),1)</f>
        <v>1</v>
      </c>
      <c r="AI206" s="43">
        <f t="shared" si="31"/>
        <v>0</v>
      </c>
      <c r="AJ206" s="43">
        <f t="shared" si="32"/>
        <v>0</v>
      </c>
      <c r="AK206" s="43">
        <f t="shared" si="33"/>
        <v>0</v>
      </c>
      <c r="AL206" s="43">
        <f t="shared" si="34"/>
        <v>0</v>
      </c>
      <c r="AM206" s="43"/>
      <c r="AN206" s="45" t="str">
        <f t="shared" si="35"/>
        <v/>
      </c>
    </row>
    <row r="207" spans="1:40 16365:16383" ht="15.6">
      <c r="A207" s="5"/>
      <c r="B207" s="5"/>
      <c r="E207" s="17"/>
      <c r="F207" s="17"/>
      <c r="G207" s="17"/>
      <c r="H207" s="17"/>
      <c r="I207" s="17"/>
      <c r="J207" s="17"/>
      <c r="K207" s="17"/>
      <c r="L207" s="32"/>
      <c r="M207" s="61"/>
      <c r="N207" s="23"/>
      <c r="O207" s="23"/>
      <c r="P207" s="9"/>
      <c r="Q207" s="9"/>
      <c r="R207" s="9"/>
      <c r="S207" s="9"/>
      <c r="U207" s="42" t="str">
        <f t="shared" si="27"/>
        <v>, L:, E:, S:, TS:</v>
      </c>
      <c r="V207" s="42" t="str">
        <f t="shared" si="28"/>
        <v/>
      </c>
      <c r="W207" s="43">
        <f>IFERROR(VLOOKUP(A207,Esiehdot!A$11:D$15,4,0), 0)</f>
        <v>0</v>
      </c>
      <c r="X207" s="44">
        <f>IF(Esiehdot!D$4&gt;=IFERROR(VLOOKUP(E207,Valintalistat!D$2:H$7,5,0), 99),1,0)</f>
        <v>0</v>
      </c>
      <c r="Y207" s="44">
        <f>IF(Esiehdot!D$5&gt;=IFERROR(VLOOKUP(F207,Valintalistat!E$2:H$5,4,0), 99),1,0)</f>
        <v>0</v>
      </c>
      <c r="Z207" s="44">
        <f>IF(Esiehdot!D$6&gt;=IFERROR(VLOOKUP(G207,Valintalistat!F$2:H$5,3,0),99),1,0)</f>
        <v>0</v>
      </c>
      <c r="AA207" s="44">
        <f>IF(Esiehdot!D$8&gt;=IFERROR(VLOOKUP(H207,Valintalistat!G$2:H$5,2,0),99),1,0)</f>
        <v>0</v>
      </c>
      <c r="AB207" s="43">
        <f t="shared" si="29"/>
        <v>0</v>
      </c>
      <c r="AC207" s="44">
        <f>IF(Esiehdot!E$4=IFERROR(VLOOKUP(E207,Valintalistat!D$2:H$7,5,0),99),1,0)</f>
        <v>0</v>
      </c>
      <c r="AD207" s="44">
        <f>IF(Esiehdot!E$5=IFERROR(VLOOKUP(F207,Valintalistat!E$2:H$5,4,0),99),1,0)</f>
        <v>0</v>
      </c>
      <c r="AE207" s="44">
        <f>IF(Esiehdot!E$6=IFERROR(VLOOKUP(G207,Valintalistat!F$2:H$5,3,0),99),1,0)</f>
        <v>0</v>
      </c>
      <c r="AF207" s="44">
        <f>IF(Esiehdot!E$8=IFERROR(VLOOKUP(H207,Valintalistat!G$2:H$3,2,0),98),1,0)</f>
        <v>0</v>
      </c>
      <c r="AG207" s="43">
        <f t="shared" si="30"/>
        <v>0</v>
      </c>
      <c r="AH207" s="43">
        <f>IFERROR(HLOOKUP(Esiehdot!$B$17,Käyttötapauskriteerit!G$1:P207,207,0),1)</f>
        <v>1</v>
      </c>
      <c r="AI207" s="43">
        <f t="shared" si="31"/>
        <v>0</v>
      </c>
      <c r="AJ207" s="43">
        <f t="shared" si="32"/>
        <v>0</v>
      </c>
      <c r="AK207" s="43">
        <f t="shared" si="33"/>
        <v>0</v>
      </c>
      <c r="AL207" s="43">
        <f t="shared" si="34"/>
        <v>0</v>
      </c>
      <c r="AM207" s="43"/>
      <c r="AN207" s="45" t="str">
        <f t="shared" si="35"/>
        <v/>
      </c>
    </row>
    <row r="208" spans="1:40 16365:16383" ht="15.6">
      <c r="A208" s="5"/>
      <c r="B208" s="5"/>
      <c r="E208" s="17"/>
      <c r="F208" s="17"/>
      <c r="G208" s="17"/>
      <c r="H208" s="17"/>
      <c r="I208" s="17"/>
      <c r="J208" s="17"/>
      <c r="K208" s="17"/>
      <c r="L208" s="32"/>
      <c r="M208" s="61"/>
      <c r="N208" s="23"/>
      <c r="O208" s="23"/>
      <c r="P208" s="9"/>
      <c r="Q208" s="9"/>
      <c r="R208" s="9"/>
      <c r="S208" s="9"/>
      <c r="U208" s="42" t="str">
        <f t="shared" si="27"/>
        <v>, L:, E:, S:, TS:</v>
      </c>
      <c r="V208" s="46" t="str">
        <f t="shared" si="28"/>
        <v/>
      </c>
      <c r="W208" s="46">
        <f>IFERROR(VLOOKUP(A208,Esiehdot!A$11:D$15,4,0), 0)</f>
        <v>0</v>
      </c>
      <c r="X208" s="46">
        <f>IF(Esiehdot!D$4&gt;=IFERROR(VLOOKUP(E208,Valintalistat!D$2:H$7,5,0), 99),1,0)</f>
        <v>0</v>
      </c>
      <c r="Y208" s="46">
        <f>IF(Esiehdot!D$5&gt;=IFERROR(VLOOKUP(F208,Valintalistat!E$2:H$5,4,0), 99),1,0)</f>
        <v>0</v>
      </c>
      <c r="Z208" s="46">
        <f>IF(Esiehdot!D$6&gt;=IFERROR(VLOOKUP(G208,Valintalistat!F$2:H$5,3,0),99),1,0)</f>
        <v>0</v>
      </c>
      <c r="AA208" s="46">
        <f>IF(Esiehdot!D$8&gt;=IFERROR(VLOOKUP(H208,Valintalistat!G$2:H$5,2,0),99),1,0)</f>
        <v>0</v>
      </c>
      <c r="AB208" s="46">
        <f t="shared" si="29"/>
        <v>0</v>
      </c>
      <c r="AC208" s="46">
        <f>IF(Esiehdot!E$4=IFERROR(VLOOKUP(E208,Valintalistat!D$2:H$7,5,0),99),1,0)</f>
        <v>0</v>
      </c>
      <c r="AD208" s="46">
        <f>IF(Esiehdot!E$5=IFERROR(VLOOKUP(F208,Valintalistat!E$2:H$5,4,0),99),1,0)</f>
        <v>0</v>
      </c>
      <c r="AE208" s="46">
        <f>IF(Esiehdot!E$6=IFERROR(VLOOKUP(G208,Valintalistat!F$2:H$5,3,0),99),1,0)</f>
        <v>0</v>
      </c>
      <c r="AF208" s="46">
        <f>IF(Esiehdot!E$8=IFERROR(VLOOKUP(H208,Valintalistat!G$2:H$3,2,0),98),1,0)</f>
        <v>0</v>
      </c>
      <c r="AG208" s="46">
        <f t="shared" si="30"/>
        <v>0</v>
      </c>
      <c r="AH208" s="46">
        <f>IFERROR(HLOOKUP(Esiehdot!$B$17,Käyttötapauskriteerit!G$1:P208,208,0),1)</f>
        <v>1</v>
      </c>
      <c r="AI208" s="46">
        <f t="shared" si="31"/>
        <v>0</v>
      </c>
      <c r="AJ208" s="46">
        <f t="shared" si="32"/>
        <v>0</v>
      </c>
      <c r="AK208" s="46">
        <f t="shared" si="33"/>
        <v>0</v>
      </c>
      <c r="AL208" s="46">
        <f t="shared" si="34"/>
        <v>0</v>
      </c>
      <c r="AM208" s="46"/>
      <c r="AN208" s="45" t="str">
        <f t="shared" si="35"/>
        <v/>
      </c>
      <c r="XEK208" s="5"/>
      <c r="XEL208" s="5"/>
      <c r="XEM208" s="22"/>
      <c r="XEN208" s="22"/>
      <c r="XEO208" s="17"/>
      <c r="XEP208" s="17"/>
      <c r="XEQ208" s="17"/>
      <c r="XER208" s="17"/>
      <c r="XES208" s="17"/>
      <c r="XET208" s="17"/>
      <c r="XEU208" s="17"/>
      <c r="XEV208" s="32"/>
      <c r="XEW208" s="23"/>
      <c r="XEX208" s="23"/>
      <c r="XEY208" s="23"/>
      <c r="XEZ208" s="9"/>
      <c r="XFA208" s="9"/>
      <c r="XFB208" s="9"/>
      <c r="XFC208" s="9"/>
    </row>
    <row r="209" spans="1:40 16325:16383" ht="15.6">
      <c r="A209" s="5"/>
      <c r="B209" s="5"/>
      <c r="E209" s="17"/>
      <c r="F209" s="17"/>
      <c r="G209" s="17"/>
      <c r="H209" s="17"/>
      <c r="I209" s="17"/>
      <c r="J209" s="17"/>
      <c r="K209" s="17"/>
      <c r="L209" s="32"/>
      <c r="M209" s="61"/>
      <c r="N209" s="23"/>
      <c r="O209" s="23"/>
      <c r="P209" s="9"/>
      <c r="Q209" s="9"/>
      <c r="R209" s="9"/>
      <c r="S209" s="9"/>
      <c r="U209" s="42" t="str">
        <f t="shared" si="27"/>
        <v>, L:, E:, S:, TS:</v>
      </c>
      <c r="V209" s="42" t="str">
        <f t="shared" si="28"/>
        <v/>
      </c>
      <c r="W209" s="43">
        <f>IFERROR(VLOOKUP(A209,Esiehdot!A$11:D$15,4,0), 0)</f>
        <v>0</v>
      </c>
      <c r="X209" s="44">
        <f>IF(Esiehdot!D$4&gt;=IFERROR(VLOOKUP(E209,Valintalistat!D$2:H$7,5,0), 99),1,0)</f>
        <v>0</v>
      </c>
      <c r="Y209" s="44">
        <f>IF(Esiehdot!D$5&gt;=IFERROR(VLOOKUP(F209,Valintalistat!E$2:H$5,4,0), 99),1,0)</f>
        <v>0</v>
      </c>
      <c r="Z209" s="44">
        <f>IF(Esiehdot!D$6&gt;=IFERROR(VLOOKUP(G209,Valintalistat!F$2:H$5,3,0),99),1,0)</f>
        <v>0</v>
      </c>
      <c r="AA209" s="44">
        <f>IF(Esiehdot!D$8&gt;=IFERROR(VLOOKUP(H209,Valintalistat!G$2:H$5,2,0),99),1,0)</f>
        <v>0</v>
      </c>
      <c r="AB209" s="43">
        <f t="shared" si="29"/>
        <v>0</v>
      </c>
      <c r="AC209" s="44">
        <f>IF(Esiehdot!E$4=IFERROR(VLOOKUP(E209,Valintalistat!D$2:H$7,5,0),99),1,0)</f>
        <v>0</v>
      </c>
      <c r="AD209" s="44">
        <f>IF(Esiehdot!E$5=IFERROR(VLOOKUP(F209,Valintalistat!E$2:H$5,4,0),99),1,0)</f>
        <v>0</v>
      </c>
      <c r="AE209" s="44">
        <f>IF(Esiehdot!E$6=IFERROR(VLOOKUP(G209,Valintalistat!F$2:H$5,3,0),99),1,0)</f>
        <v>0</v>
      </c>
      <c r="AF209" s="44">
        <f>IF(Esiehdot!E$8=IFERROR(VLOOKUP(H209,Valintalistat!G$2:H$3,2,0),98),1,0)</f>
        <v>0</v>
      </c>
      <c r="AG209" s="43">
        <f t="shared" si="30"/>
        <v>0</v>
      </c>
      <c r="AH209" s="43">
        <f>IFERROR(HLOOKUP(Esiehdot!$B$17,Käyttötapauskriteerit!G$1:P209,209,0),1)</f>
        <v>1</v>
      </c>
      <c r="AI209" s="43">
        <f t="shared" si="31"/>
        <v>0</v>
      </c>
      <c r="AJ209" s="43">
        <f t="shared" si="32"/>
        <v>0</v>
      </c>
      <c r="AK209" s="43">
        <f t="shared" si="33"/>
        <v>0</v>
      </c>
      <c r="AL209" s="43">
        <f t="shared" si="34"/>
        <v>0</v>
      </c>
      <c r="AM209" s="43"/>
      <c r="AN209" s="45" t="str">
        <f t="shared" si="35"/>
        <v/>
      </c>
    </row>
    <row r="210" spans="1:40 16325:16383" ht="15.6">
      <c r="A210" s="5"/>
      <c r="B210" s="5"/>
      <c r="E210" s="17"/>
      <c r="F210" s="17"/>
      <c r="G210" s="17"/>
      <c r="H210" s="17"/>
      <c r="I210" s="17"/>
      <c r="J210" s="17"/>
      <c r="K210" s="17"/>
      <c r="L210" s="32"/>
      <c r="M210" s="61"/>
      <c r="N210" s="23"/>
      <c r="O210" s="23"/>
      <c r="P210" s="9"/>
      <c r="Q210" s="9"/>
      <c r="R210" s="9"/>
      <c r="S210" s="9"/>
      <c r="U210" s="42" t="str">
        <f t="shared" si="27"/>
        <v>, L:, E:, S:, TS:</v>
      </c>
      <c r="V210" s="42" t="str">
        <f t="shared" si="28"/>
        <v/>
      </c>
      <c r="W210" s="43">
        <f>IFERROR(VLOOKUP(A210,Esiehdot!A$11:D$15,4,0), 0)</f>
        <v>0</v>
      </c>
      <c r="X210" s="44">
        <f>IF(Esiehdot!D$4&gt;=IFERROR(VLOOKUP(E210,Valintalistat!D$2:H$7,5,0), 99),1,0)</f>
        <v>0</v>
      </c>
      <c r="Y210" s="44">
        <f>IF(Esiehdot!D$5&gt;=IFERROR(VLOOKUP(F210,Valintalistat!E$2:H$5,4,0), 99),1,0)</f>
        <v>0</v>
      </c>
      <c r="Z210" s="44">
        <f>IF(Esiehdot!D$6&gt;=IFERROR(VLOOKUP(G210,Valintalistat!F$2:H$5,3,0),99),1,0)</f>
        <v>0</v>
      </c>
      <c r="AA210" s="44">
        <f>IF(Esiehdot!D$8&gt;=IFERROR(VLOOKUP(H210,Valintalistat!G$2:H$5,2,0),99),1,0)</f>
        <v>0</v>
      </c>
      <c r="AB210" s="43">
        <f t="shared" si="29"/>
        <v>0</v>
      </c>
      <c r="AC210" s="44">
        <f>IF(Esiehdot!E$4=IFERROR(VLOOKUP(E210,Valintalistat!D$2:H$7,5,0),99),1,0)</f>
        <v>0</v>
      </c>
      <c r="AD210" s="44">
        <f>IF(Esiehdot!E$5=IFERROR(VLOOKUP(F210,Valintalistat!E$2:H$5,4,0),99),1,0)</f>
        <v>0</v>
      </c>
      <c r="AE210" s="44">
        <f>IF(Esiehdot!E$6=IFERROR(VLOOKUP(G210,Valintalistat!F$2:H$5,3,0),99),1,0)</f>
        <v>0</v>
      </c>
      <c r="AF210" s="44">
        <f>IF(Esiehdot!E$8=IFERROR(VLOOKUP(H210,Valintalistat!G$2:H$3,2,0),98),1,0)</f>
        <v>0</v>
      </c>
      <c r="AG210" s="43">
        <f t="shared" si="30"/>
        <v>0</v>
      </c>
      <c r="AH210" s="43">
        <f>IFERROR(HLOOKUP(Esiehdot!$B$17,Käyttötapauskriteerit!G$1:P210,210,0),1)</f>
        <v>1</v>
      </c>
      <c r="AI210" s="43">
        <f t="shared" si="31"/>
        <v>0</v>
      </c>
      <c r="AJ210" s="43">
        <f t="shared" si="32"/>
        <v>0</v>
      </c>
      <c r="AK210" s="43">
        <f t="shared" si="33"/>
        <v>0</v>
      </c>
      <c r="AL210" s="43">
        <f t="shared" si="34"/>
        <v>0</v>
      </c>
      <c r="AM210" s="43"/>
      <c r="AN210" s="45" t="str">
        <f t="shared" si="35"/>
        <v/>
      </c>
    </row>
    <row r="211" spans="1:40 16325:16383" ht="15.6">
      <c r="A211" s="5"/>
      <c r="B211" s="5"/>
      <c r="E211" s="17"/>
      <c r="F211" s="17"/>
      <c r="G211" s="17"/>
      <c r="H211" s="17"/>
      <c r="I211" s="17"/>
      <c r="J211" s="17"/>
      <c r="K211" s="17"/>
      <c r="L211" s="32"/>
      <c r="M211" s="61"/>
      <c r="N211" s="23"/>
      <c r="O211" s="23"/>
      <c r="P211" s="9"/>
      <c r="Q211" s="9"/>
      <c r="R211" s="9"/>
      <c r="S211" s="9"/>
      <c r="U211" s="42" t="str">
        <f t="shared" si="27"/>
        <v>, L:, E:, S:, TS:</v>
      </c>
      <c r="V211" s="46" t="str">
        <f t="shared" si="28"/>
        <v/>
      </c>
      <c r="W211" s="46">
        <f>IFERROR(VLOOKUP(A211,Esiehdot!A$11:D$15,4,0), 0)</f>
        <v>0</v>
      </c>
      <c r="X211" s="46">
        <f>IF(Esiehdot!D$4&gt;=IFERROR(VLOOKUP(E211,Valintalistat!D$2:H$7,5,0), 99),1,0)</f>
        <v>0</v>
      </c>
      <c r="Y211" s="46">
        <f>IF(Esiehdot!D$5&gt;=IFERROR(VLOOKUP(F211,Valintalistat!E$2:H$5,4,0), 99),1,0)</f>
        <v>0</v>
      </c>
      <c r="Z211" s="46">
        <f>IF(Esiehdot!D$6&gt;=IFERROR(VLOOKUP(G211,Valintalistat!F$2:H$5,3,0),99),1,0)</f>
        <v>0</v>
      </c>
      <c r="AA211" s="46">
        <f>IF(Esiehdot!D$8&gt;=IFERROR(VLOOKUP(H211,Valintalistat!G$2:H$5,2,0),99),1,0)</f>
        <v>0</v>
      </c>
      <c r="AB211" s="46">
        <f t="shared" si="29"/>
        <v>0</v>
      </c>
      <c r="AC211" s="46">
        <f>IF(Esiehdot!E$4=IFERROR(VLOOKUP(E211,Valintalistat!D$2:H$7,5,0),99),1,0)</f>
        <v>0</v>
      </c>
      <c r="AD211" s="46">
        <f>IF(Esiehdot!E$5=IFERROR(VLOOKUP(F211,Valintalistat!E$2:H$5,4,0),99),1,0)</f>
        <v>0</v>
      </c>
      <c r="AE211" s="46">
        <f>IF(Esiehdot!E$6=IFERROR(VLOOKUP(G211,Valintalistat!F$2:H$5,3,0),99),1,0)</f>
        <v>0</v>
      </c>
      <c r="AF211" s="46">
        <f>IF(Esiehdot!E$8=IFERROR(VLOOKUP(H211,Valintalistat!G$2:H$3,2,0),98),1,0)</f>
        <v>0</v>
      </c>
      <c r="AG211" s="46">
        <f t="shared" si="30"/>
        <v>0</v>
      </c>
      <c r="AH211" s="46">
        <f>IFERROR(HLOOKUP(Esiehdot!$B$17,Käyttötapauskriteerit!G$1:P211,211,0),1)</f>
        <v>1</v>
      </c>
      <c r="AI211" s="46">
        <f t="shared" si="31"/>
        <v>0</v>
      </c>
      <c r="AJ211" s="46">
        <f t="shared" si="32"/>
        <v>0</v>
      </c>
      <c r="AK211" s="46">
        <f t="shared" si="33"/>
        <v>0</v>
      </c>
      <c r="AL211" s="46">
        <f t="shared" si="34"/>
        <v>0</v>
      </c>
      <c r="AM211" s="46"/>
      <c r="AN211" s="45" t="str">
        <f t="shared" si="35"/>
        <v/>
      </c>
      <c r="XEK211" s="5"/>
      <c r="XEL211" s="5"/>
      <c r="XEM211" s="22"/>
      <c r="XEN211" s="22"/>
      <c r="XEO211" s="17"/>
      <c r="XEP211" s="17"/>
      <c r="XEQ211" s="17"/>
      <c r="XER211" s="17"/>
      <c r="XES211" s="17"/>
      <c r="XET211" s="17"/>
      <c r="XEU211" s="17"/>
      <c r="XEV211" s="32"/>
      <c r="XEW211" s="23"/>
      <c r="XEX211" s="23"/>
      <c r="XEY211" s="23"/>
      <c r="XEZ211" s="9"/>
      <c r="XFA211" s="9"/>
      <c r="XFB211" s="9"/>
      <c r="XFC211" s="9"/>
    </row>
    <row r="212" spans="1:40 16325:16383" ht="15.6">
      <c r="A212" s="5"/>
      <c r="B212" s="5"/>
      <c r="E212" s="17"/>
      <c r="F212" s="17"/>
      <c r="G212" s="17"/>
      <c r="H212" s="17"/>
      <c r="I212" s="17"/>
      <c r="J212" s="17"/>
      <c r="K212" s="17"/>
      <c r="L212" s="32"/>
      <c r="M212" s="61"/>
      <c r="N212" s="23"/>
      <c r="O212" s="23"/>
      <c r="P212" s="9"/>
      <c r="Q212" s="9"/>
      <c r="R212" s="9"/>
      <c r="S212" s="9"/>
      <c r="U212" s="42" t="str">
        <f t="shared" si="27"/>
        <v>, L:, E:, S:, TS:</v>
      </c>
      <c r="V212" s="46" t="str">
        <f t="shared" si="28"/>
        <v/>
      </c>
      <c r="W212" s="46">
        <f>IFERROR(VLOOKUP(A212,Esiehdot!A$11:D$15,4,0), 0)</f>
        <v>0</v>
      </c>
      <c r="X212" s="46">
        <f>IF(Esiehdot!D$4&gt;=IFERROR(VLOOKUP(E212,Valintalistat!D$2:H$7,5,0), 99),1,0)</f>
        <v>0</v>
      </c>
      <c r="Y212" s="46">
        <f>IF(Esiehdot!D$5&gt;=IFERROR(VLOOKUP(F212,Valintalistat!E$2:H$5,4,0), 99),1,0)</f>
        <v>0</v>
      </c>
      <c r="Z212" s="46">
        <f>IF(Esiehdot!D$6&gt;=IFERROR(VLOOKUP(G212,Valintalistat!F$2:H$5,3,0),99),1,0)</f>
        <v>0</v>
      </c>
      <c r="AA212" s="46">
        <f>IF(Esiehdot!D$8&gt;=IFERROR(VLOOKUP(H212,Valintalistat!G$2:H$5,2,0),99),1,0)</f>
        <v>0</v>
      </c>
      <c r="AB212" s="46">
        <f t="shared" si="29"/>
        <v>0</v>
      </c>
      <c r="AC212" s="46">
        <f>IF(Esiehdot!E$4=IFERROR(VLOOKUP(E212,Valintalistat!D$2:H$7,5,0),99),1,0)</f>
        <v>0</v>
      </c>
      <c r="AD212" s="46">
        <f>IF(Esiehdot!E$5=IFERROR(VLOOKUP(F212,Valintalistat!E$2:H$5,4,0),99),1,0)</f>
        <v>0</v>
      </c>
      <c r="AE212" s="46">
        <f>IF(Esiehdot!E$6=IFERROR(VLOOKUP(G212,Valintalistat!F$2:H$5,3,0),99),1,0)</f>
        <v>0</v>
      </c>
      <c r="AF212" s="46">
        <f>IF(Esiehdot!E$8=IFERROR(VLOOKUP(H212,Valintalistat!G$2:H$3,2,0),98),1,0)</f>
        <v>0</v>
      </c>
      <c r="AG212" s="46">
        <f t="shared" si="30"/>
        <v>0</v>
      </c>
      <c r="AH212" s="46">
        <f>IFERROR(HLOOKUP(Esiehdot!$B$17,Käyttötapauskriteerit!G$1:P212,212,0),1)</f>
        <v>1</v>
      </c>
      <c r="AI212" s="46">
        <f t="shared" si="31"/>
        <v>0</v>
      </c>
      <c r="AJ212" s="46">
        <f t="shared" si="32"/>
        <v>0</v>
      </c>
      <c r="AK212" s="46">
        <f t="shared" si="33"/>
        <v>0</v>
      </c>
      <c r="AL212" s="46">
        <f t="shared" si="34"/>
        <v>0</v>
      </c>
      <c r="AM212" s="46"/>
      <c r="AN212" s="45" t="str">
        <f t="shared" si="35"/>
        <v/>
      </c>
      <c r="XDQ212" s="5"/>
      <c r="XDR212" s="5"/>
      <c r="XDS212" s="22"/>
      <c r="XDT212" s="22"/>
      <c r="XDU212" s="17"/>
      <c r="XDV212" s="17"/>
      <c r="XDW212" s="17"/>
      <c r="XDX212" s="17"/>
      <c r="XDY212" s="17"/>
      <c r="XDZ212" s="17"/>
      <c r="XEA212" s="17"/>
      <c r="XEB212" s="32"/>
      <c r="XEC212" s="23"/>
      <c r="XED212" s="23"/>
      <c r="XEE212" s="23"/>
      <c r="XEF212" s="9"/>
      <c r="XEG212" s="9"/>
      <c r="XEH212" s="9"/>
      <c r="XEI212" s="9"/>
      <c r="XEK212" s="5"/>
      <c r="XEL212" s="5"/>
      <c r="XEM212" s="22"/>
      <c r="XEN212" s="22"/>
      <c r="XEO212" s="17"/>
      <c r="XEP212" s="17"/>
      <c r="XEQ212" s="17"/>
      <c r="XER212" s="17"/>
      <c r="XES212" s="17"/>
      <c r="XET212" s="17"/>
      <c r="XEU212" s="17"/>
      <c r="XEV212" s="32"/>
      <c r="XEW212" s="23"/>
      <c r="XEX212" s="23"/>
      <c r="XEY212" s="23"/>
      <c r="XEZ212" s="9"/>
      <c r="XFA212" s="9"/>
      <c r="XFB212" s="9"/>
      <c r="XFC212" s="9"/>
    </row>
    <row r="213" spans="1:40 16325:16383" ht="15.6">
      <c r="A213" s="5"/>
      <c r="B213" s="5"/>
      <c r="E213" s="17"/>
      <c r="F213" s="17"/>
      <c r="G213" s="17"/>
      <c r="H213" s="17"/>
      <c r="I213" s="17"/>
      <c r="J213" s="17"/>
      <c r="K213" s="17"/>
      <c r="L213" s="32"/>
      <c r="M213" s="61"/>
      <c r="N213" s="23"/>
      <c r="O213" s="23"/>
      <c r="P213" s="9"/>
      <c r="Q213" s="9"/>
      <c r="R213" s="9"/>
      <c r="S213" s="9"/>
      <c r="U213" s="42" t="str">
        <f t="shared" si="27"/>
        <v>, L:, E:, S:, TS:</v>
      </c>
      <c r="V213" s="42" t="str">
        <f t="shared" si="28"/>
        <v/>
      </c>
      <c r="W213" s="43">
        <f>IFERROR(VLOOKUP(A213,Esiehdot!A$11:D$15,4,0), 0)</f>
        <v>0</v>
      </c>
      <c r="X213" s="44">
        <f>IF(Esiehdot!D$4&gt;=IFERROR(VLOOKUP(E213,Valintalistat!D$2:H$7,5,0), 99),1,0)</f>
        <v>0</v>
      </c>
      <c r="Y213" s="44">
        <f>IF(Esiehdot!D$5&gt;=IFERROR(VLOOKUP(F213,Valintalistat!E$2:H$5,4,0), 99),1,0)</f>
        <v>0</v>
      </c>
      <c r="Z213" s="44">
        <f>IF(Esiehdot!D$6&gt;=IFERROR(VLOOKUP(G213,Valintalistat!F$2:H$5,3,0),99),1,0)</f>
        <v>0</v>
      </c>
      <c r="AA213" s="44">
        <f>IF(Esiehdot!D$8&gt;=IFERROR(VLOOKUP(H213,Valintalistat!G$2:H$5,2,0),99),1,0)</f>
        <v>0</v>
      </c>
      <c r="AB213" s="43">
        <f t="shared" si="29"/>
        <v>0</v>
      </c>
      <c r="AC213" s="44">
        <f>IF(Esiehdot!E$4=IFERROR(VLOOKUP(E213,Valintalistat!D$2:H$7,5,0),99),1,0)</f>
        <v>0</v>
      </c>
      <c r="AD213" s="44">
        <f>IF(Esiehdot!E$5=IFERROR(VLOOKUP(F213,Valintalistat!E$2:H$5,4,0),99),1,0)</f>
        <v>0</v>
      </c>
      <c r="AE213" s="44">
        <f>IF(Esiehdot!E$6=IFERROR(VLOOKUP(G213,Valintalistat!F$2:H$5,3,0),99),1,0)</f>
        <v>0</v>
      </c>
      <c r="AF213" s="44">
        <f>IF(Esiehdot!E$8=IFERROR(VLOOKUP(H213,Valintalistat!G$2:H$3,2,0),98),1,0)</f>
        <v>0</v>
      </c>
      <c r="AG213" s="43">
        <f t="shared" si="30"/>
        <v>0</v>
      </c>
      <c r="AH213" s="43">
        <f>IFERROR(HLOOKUP(Esiehdot!$B$17,Käyttötapauskriteerit!G$1:P213,213,0),1)</f>
        <v>1</v>
      </c>
      <c r="AI213" s="43">
        <f t="shared" si="31"/>
        <v>0</v>
      </c>
      <c r="AJ213" s="43">
        <f t="shared" si="32"/>
        <v>0</v>
      </c>
      <c r="AK213" s="43">
        <f t="shared" si="33"/>
        <v>0</v>
      </c>
      <c r="AL213" s="43">
        <f t="shared" si="34"/>
        <v>0</v>
      </c>
      <c r="AM213" s="43"/>
      <c r="AN213" s="45" t="str">
        <f t="shared" si="35"/>
        <v/>
      </c>
    </row>
    <row r="214" spans="1:40 16325:16383" ht="15.6">
      <c r="A214" s="5"/>
      <c r="B214" s="5"/>
      <c r="E214" s="17"/>
      <c r="F214" s="17"/>
      <c r="G214" s="17"/>
      <c r="H214" s="17"/>
      <c r="I214" s="17"/>
      <c r="J214" s="17"/>
      <c r="K214" s="17"/>
      <c r="L214" s="32"/>
      <c r="M214" s="61"/>
      <c r="N214" s="23"/>
      <c r="O214" s="23"/>
      <c r="P214" s="9"/>
      <c r="Q214" s="9"/>
      <c r="R214" s="9"/>
      <c r="S214" s="9"/>
      <c r="U214" s="42" t="str">
        <f t="shared" si="27"/>
        <v>, L:, E:, S:, TS:</v>
      </c>
      <c r="V214" s="46" t="str">
        <f t="shared" si="28"/>
        <v/>
      </c>
      <c r="W214" s="46">
        <f>IFERROR(VLOOKUP(A214,Esiehdot!A$11:D$15,4,0), 0)</f>
        <v>0</v>
      </c>
      <c r="X214" s="46">
        <f>IF(Esiehdot!D$4&gt;=IFERROR(VLOOKUP(E214,Valintalistat!D$2:H$7,5,0), 99),1,0)</f>
        <v>0</v>
      </c>
      <c r="Y214" s="46">
        <f>IF(Esiehdot!D$5&gt;=IFERROR(VLOOKUP(F214,Valintalistat!E$2:H$5,4,0), 99),1,0)</f>
        <v>0</v>
      </c>
      <c r="Z214" s="46">
        <f>IF(Esiehdot!D$6&gt;=IFERROR(VLOOKUP(G214,Valintalistat!F$2:H$5,3,0),99),1,0)</f>
        <v>0</v>
      </c>
      <c r="AA214" s="46">
        <f>IF(Esiehdot!D$8&gt;=IFERROR(VLOOKUP(H214,Valintalistat!G$2:H$5,2,0),99),1,0)</f>
        <v>0</v>
      </c>
      <c r="AB214" s="46">
        <f t="shared" si="29"/>
        <v>0</v>
      </c>
      <c r="AC214" s="46">
        <f>IF(Esiehdot!E$4=IFERROR(VLOOKUP(E214,Valintalistat!D$2:H$7,5,0),99),1,0)</f>
        <v>0</v>
      </c>
      <c r="AD214" s="46">
        <f>IF(Esiehdot!E$5=IFERROR(VLOOKUP(F214,Valintalistat!E$2:H$5,4,0),99),1,0)</f>
        <v>0</v>
      </c>
      <c r="AE214" s="46">
        <f>IF(Esiehdot!E$6=IFERROR(VLOOKUP(G214,Valintalistat!F$2:H$5,3,0),99),1,0)</f>
        <v>0</v>
      </c>
      <c r="AF214" s="46">
        <f>IF(Esiehdot!E$8=IFERROR(VLOOKUP(H214,Valintalistat!G$2:H$3,2,0),98),1,0)</f>
        <v>0</v>
      </c>
      <c r="AG214" s="46">
        <f t="shared" si="30"/>
        <v>0</v>
      </c>
      <c r="AH214" s="46">
        <f>IFERROR(HLOOKUP(Esiehdot!$B$17,Käyttötapauskriteerit!G$1:P214,214,0),1)</f>
        <v>1</v>
      </c>
      <c r="AI214" s="46">
        <f t="shared" si="31"/>
        <v>0</v>
      </c>
      <c r="AJ214" s="46">
        <f t="shared" si="32"/>
        <v>0</v>
      </c>
      <c r="AK214" s="46">
        <f t="shared" si="33"/>
        <v>0</v>
      </c>
      <c r="AL214" s="46">
        <f t="shared" si="34"/>
        <v>0</v>
      </c>
      <c r="AM214" s="46"/>
      <c r="AN214" s="45" t="str">
        <f t="shared" si="35"/>
        <v/>
      </c>
      <c r="XEK214" s="5"/>
      <c r="XEL214" s="5"/>
      <c r="XEM214" s="22"/>
      <c r="XEN214" s="22"/>
      <c r="XEO214" s="17"/>
      <c r="XEP214" s="17"/>
      <c r="XEQ214" s="17"/>
      <c r="XER214" s="17"/>
      <c r="XES214" s="17"/>
      <c r="XET214" s="17"/>
      <c r="XEU214" s="17"/>
      <c r="XEV214" s="32"/>
      <c r="XEW214" s="23"/>
      <c r="XEX214" s="23"/>
      <c r="XEY214" s="23"/>
      <c r="XEZ214" s="9"/>
      <c r="XFA214" s="9"/>
      <c r="XFB214" s="9"/>
      <c r="XFC214" s="9"/>
    </row>
    <row r="215" spans="1:40 16325:16383" ht="15.6">
      <c r="A215" s="5"/>
      <c r="B215" s="5"/>
      <c r="E215" s="17"/>
      <c r="F215" s="17"/>
      <c r="G215" s="17"/>
      <c r="H215" s="17"/>
      <c r="I215" s="17"/>
      <c r="J215" s="17"/>
      <c r="K215" s="17"/>
      <c r="L215" s="32"/>
      <c r="M215" s="61"/>
      <c r="N215" s="23"/>
      <c r="O215" s="23"/>
      <c r="P215" s="9"/>
      <c r="Q215" s="9"/>
      <c r="R215" s="9"/>
      <c r="S215" s="9"/>
      <c r="U215" s="42" t="str">
        <f t="shared" si="27"/>
        <v>, L:, E:, S:, TS:</v>
      </c>
      <c r="V215" s="42" t="str">
        <f t="shared" si="28"/>
        <v/>
      </c>
      <c r="W215" s="43">
        <f>IFERROR(VLOOKUP(A215,Esiehdot!A$11:D$15,4,0), 0)</f>
        <v>0</v>
      </c>
      <c r="X215" s="44">
        <f>IF(Esiehdot!D$4&gt;=IFERROR(VLOOKUP(E215,Valintalistat!D$2:H$7,5,0), 99),1,0)</f>
        <v>0</v>
      </c>
      <c r="Y215" s="44">
        <f>IF(Esiehdot!D$5&gt;=IFERROR(VLOOKUP(F215,Valintalistat!E$2:H$5,4,0), 99),1,0)</f>
        <v>0</v>
      </c>
      <c r="Z215" s="44">
        <f>IF(Esiehdot!D$6&gt;=IFERROR(VLOOKUP(G215,Valintalistat!F$2:H$5,3,0),99),1,0)</f>
        <v>0</v>
      </c>
      <c r="AA215" s="44">
        <f>IF(Esiehdot!D$8&gt;=IFERROR(VLOOKUP(H215,Valintalistat!G$2:H$5,2,0),99),1,0)</f>
        <v>0</v>
      </c>
      <c r="AB215" s="43">
        <f t="shared" si="29"/>
        <v>0</v>
      </c>
      <c r="AC215" s="44">
        <f>IF(Esiehdot!E$4=IFERROR(VLOOKUP(E215,Valintalistat!D$2:H$7,5,0),99),1,0)</f>
        <v>0</v>
      </c>
      <c r="AD215" s="44">
        <f>IF(Esiehdot!E$5=IFERROR(VLOOKUP(F215,Valintalistat!E$2:H$5,4,0),99),1,0)</f>
        <v>0</v>
      </c>
      <c r="AE215" s="44">
        <f>IF(Esiehdot!E$6=IFERROR(VLOOKUP(G215,Valintalistat!F$2:H$5,3,0),99),1,0)</f>
        <v>0</v>
      </c>
      <c r="AF215" s="44">
        <f>IF(Esiehdot!E$8=IFERROR(VLOOKUP(H215,Valintalistat!G$2:H$3,2,0),98),1,0)</f>
        <v>0</v>
      </c>
      <c r="AG215" s="43">
        <f t="shared" si="30"/>
        <v>0</v>
      </c>
      <c r="AH215" s="43">
        <f>IFERROR(HLOOKUP(Esiehdot!$B$17,Käyttötapauskriteerit!G$1:P215,215,0),1)</f>
        <v>1</v>
      </c>
      <c r="AI215" s="43">
        <f t="shared" si="31"/>
        <v>0</v>
      </c>
      <c r="AJ215" s="43">
        <f t="shared" si="32"/>
        <v>0</v>
      </c>
      <c r="AK215" s="43">
        <f t="shared" si="33"/>
        <v>0</v>
      </c>
      <c r="AL215" s="43">
        <f t="shared" si="34"/>
        <v>0</v>
      </c>
      <c r="AM215" s="43"/>
      <c r="AN215" s="45" t="str">
        <f t="shared" si="35"/>
        <v/>
      </c>
    </row>
    <row r="216" spans="1:40 16325:16383" ht="15.6">
      <c r="A216" s="5"/>
      <c r="B216" s="5"/>
      <c r="E216" s="17"/>
      <c r="F216" s="17"/>
      <c r="G216" s="17"/>
      <c r="H216" s="17"/>
      <c r="I216" s="17"/>
      <c r="J216" s="17"/>
      <c r="K216" s="17"/>
      <c r="L216" s="32"/>
      <c r="M216" s="61"/>
      <c r="N216" s="23"/>
      <c r="O216" s="23"/>
      <c r="P216" s="9"/>
      <c r="Q216" s="9"/>
      <c r="R216" s="9"/>
      <c r="S216" s="9"/>
      <c r="U216" s="42" t="str">
        <f t="shared" si="27"/>
        <v>, L:, E:, S:, TS:</v>
      </c>
      <c r="V216" s="46" t="str">
        <f t="shared" si="28"/>
        <v/>
      </c>
      <c r="W216" s="46">
        <f>IFERROR(VLOOKUP(A216,Esiehdot!A$11:D$15,4,0), 0)</f>
        <v>0</v>
      </c>
      <c r="X216" s="46">
        <f>IF(Esiehdot!D$4&gt;=IFERROR(VLOOKUP(E216,Valintalistat!D$2:H$7,5,0), 99),1,0)</f>
        <v>0</v>
      </c>
      <c r="Y216" s="46">
        <f>IF(Esiehdot!D$5&gt;=IFERROR(VLOOKUP(F216,Valintalistat!E$2:H$5,4,0), 99),1,0)</f>
        <v>0</v>
      </c>
      <c r="Z216" s="46">
        <f>IF(Esiehdot!D$6&gt;=IFERROR(VLOOKUP(G216,Valintalistat!F$2:H$5,3,0),99),1,0)</f>
        <v>0</v>
      </c>
      <c r="AA216" s="46">
        <f>IF(Esiehdot!D$8&gt;=IFERROR(VLOOKUP(H216,Valintalistat!G$2:H$5,2,0),99),1,0)</f>
        <v>0</v>
      </c>
      <c r="AB216" s="46">
        <f t="shared" si="29"/>
        <v>0</v>
      </c>
      <c r="AC216" s="46">
        <f>IF(Esiehdot!E$4=IFERROR(VLOOKUP(E216,Valintalistat!D$2:H$7,5,0),99),1,0)</f>
        <v>0</v>
      </c>
      <c r="AD216" s="46">
        <f>IF(Esiehdot!E$5=IFERROR(VLOOKUP(F216,Valintalistat!E$2:H$5,4,0),99),1,0)</f>
        <v>0</v>
      </c>
      <c r="AE216" s="46">
        <f>IF(Esiehdot!E$6=IFERROR(VLOOKUP(G216,Valintalistat!F$2:H$5,3,0),99),1,0)</f>
        <v>0</v>
      </c>
      <c r="AF216" s="46">
        <f>IF(Esiehdot!E$8=IFERROR(VLOOKUP(H216,Valintalistat!G$2:H$3,2,0),98),1,0)</f>
        <v>0</v>
      </c>
      <c r="AG216" s="46">
        <f t="shared" si="30"/>
        <v>0</v>
      </c>
      <c r="AH216" s="46">
        <f>IFERROR(HLOOKUP(Esiehdot!$B$17,Käyttötapauskriteerit!G$1:P216,216,0),1)</f>
        <v>1</v>
      </c>
      <c r="AI216" s="46">
        <f t="shared" si="31"/>
        <v>0</v>
      </c>
      <c r="AJ216" s="46">
        <f t="shared" si="32"/>
        <v>0</v>
      </c>
      <c r="AK216" s="46">
        <f t="shared" si="33"/>
        <v>0</v>
      </c>
      <c r="AL216" s="46">
        <f t="shared" si="34"/>
        <v>0</v>
      </c>
      <c r="AM216" s="46"/>
      <c r="AN216" s="45" t="str">
        <f t="shared" si="35"/>
        <v/>
      </c>
      <c r="XEK216" s="5"/>
      <c r="XEL216" s="5"/>
      <c r="XEM216" s="22"/>
      <c r="XEN216" s="22"/>
      <c r="XEO216" s="17"/>
      <c r="XEP216" s="17"/>
      <c r="XEQ216" s="17"/>
      <c r="XER216" s="17"/>
      <c r="XES216" s="17"/>
      <c r="XET216" s="17"/>
      <c r="XEU216" s="17"/>
      <c r="XEV216" s="32"/>
      <c r="XEW216" s="23"/>
      <c r="XEX216" s="23"/>
      <c r="XEY216" s="23"/>
      <c r="XEZ216" s="9"/>
      <c r="XFA216" s="9"/>
      <c r="XFB216" s="9"/>
      <c r="XFC216" s="9"/>
    </row>
    <row r="217" spans="1:40 16325:16383" ht="15.6">
      <c r="A217" s="5"/>
      <c r="B217" s="5"/>
      <c r="E217" s="17"/>
      <c r="F217" s="17"/>
      <c r="G217" s="17"/>
      <c r="H217" s="17"/>
      <c r="I217" s="17"/>
      <c r="J217" s="17"/>
      <c r="K217" s="17"/>
      <c r="L217" s="32"/>
      <c r="M217" s="61"/>
      <c r="N217" s="23"/>
      <c r="O217" s="23"/>
      <c r="P217" s="9"/>
      <c r="Q217" s="9"/>
      <c r="R217" s="9"/>
      <c r="S217" s="9"/>
      <c r="U217" s="42" t="str">
        <f t="shared" si="27"/>
        <v>, L:, E:, S:, TS:</v>
      </c>
      <c r="V217" s="46" t="str">
        <f t="shared" si="28"/>
        <v/>
      </c>
      <c r="W217" s="46">
        <f>IFERROR(VLOOKUP(A217,Esiehdot!A$11:D$15,4,0), 0)</f>
        <v>0</v>
      </c>
      <c r="X217" s="46">
        <f>IF(Esiehdot!D$4&gt;=IFERROR(VLOOKUP(E217,Valintalistat!D$2:H$7,5,0), 99),1,0)</f>
        <v>0</v>
      </c>
      <c r="Y217" s="46">
        <f>IF(Esiehdot!D$5&gt;=IFERROR(VLOOKUP(F217,Valintalistat!E$2:H$5,4,0), 99),1,0)</f>
        <v>0</v>
      </c>
      <c r="Z217" s="46">
        <f>IF(Esiehdot!D$6&gt;=IFERROR(VLOOKUP(G217,Valintalistat!F$2:H$5,3,0),99),1,0)</f>
        <v>0</v>
      </c>
      <c r="AA217" s="46">
        <f>IF(Esiehdot!D$8&gt;=IFERROR(VLOOKUP(H217,Valintalistat!G$2:H$5,2,0),99),1,0)</f>
        <v>0</v>
      </c>
      <c r="AB217" s="46">
        <f t="shared" si="29"/>
        <v>0</v>
      </c>
      <c r="AC217" s="46">
        <f>IF(Esiehdot!E$4=IFERROR(VLOOKUP(E217,Valintalistat!D$2:H$7,5,0),99),1,0)</f>
        <v>0</v>
      </c>
      <c r="AD217" s="46">
        <f>IF(Esiehdot!E$5=IFERROR(VLOOKUP(F217,Valintalistat!E$2:H$5,4,0),99),1,0)</f>
        <v>0</v>
      </c>
      <c r="AE217" s="46">
        <f>IF(Esiehdot!E$6=IFERROR(VLOOKUP(G217,Valintalistat!F$2:H$5,3,0),99),1,0)</f>
        <v>0</v>
      </c>
      <c r="AF217" s="46">
        <f>IF(Esiehdot!E$8=IFERROR(VLOOKUP(H217,Valintalistat!G$2:H$3,2,0),98),1,0)</f>
        <v>0</v>
      </c>
      <c r="AG217" s="46">
        <f t="shared" si="30"/>
        <v>0</v>
      </c>
      <c r="AH217" s="46">
        <f>IFERROR(HLOOKUP(Esiehdot!$B$17,Käyttötapauskriteerit!G$1:P217,217,0),1)</f>
        <v>1</v>
      </c>
      <c r="AI217" s="46">
        <f t="shared" si="31"/>
        <v>0</v>
      </c>
      <c r="AJ217" s="46">
        <f t="shared" si="32"/>
        <v>0</v>
      </c>
      <c r="AK217" s="46">
        <f t="shared" si="33"/>
        <v>0</v>
      </c>
      <c r="AL217" s="46">
        <f t="shared" si="34"/>
        <v>0</v>
      </c>
      <c r="AM217" s="46"/>
      <c r="AN217" s="45" t="str">
        <f t="shared" si="35"/>
        <v/>
      </c>
      <c r="XDQ217" s="5"/>
      <c r="XDR217" s="5"/>
      <c r="XDS217" s="22"/>
      <c r="XDT217" s="22"/>
      <c r="XDU217" s="17"/>
      <c r="XDV217" s="17"/>
      <c r="XDW217" s="17"/>
      <c r="XDX217" s="17"/>
      <c r="XDY217" s="17"/>
      <c r="XDZ217" s="17"/>
      <c r="XEA217" s="17"/>
      <c r="XEB217" s="32"/>
      <c r="XEC217" s="23"/>
      <c r="XED217" s="23"/>
      <c r="XEE217" s="23"/>
      <c r="XEF217" s="9"/>
      <c r="XEG217" s="9"/>
      <c r="XEH217" s="9"/>
      <c r="XEI217" s="9"/>
      <c r="XEK217" s="5"/>
      <c r="XEL217" s="5"/>
      <c r="XEM217" s="22"/>
      <c r="XEN217" s="22"/>
      <c r="XEO217" s="17"/>
      <c r="XEP217" s="17"/>
      <c r="XEQ217" s="17"/>
      <c r="XER217" s="17"/>
      <c r="XES217" s="17"/>
      <c r="XET217" s="17"/>
      <c r="XEU217" s="17"/>
      <c r="XEV217" s="32"/>
      <c r="XEW217" s="23"/>
      <c r="XEX217" s="23"/>
      <c r="XEY217" s="23"/>
      <c r="XEZ217" s="9"/>
      <c r="XFA217" s="9"/>
      <c r="XFB217" s="9"/>
      <c r="XFC217" s="9"/>
    </row>
    <row r="218" spans="1:40 16325:16383" ht="15.6">
      <c r="A218" s="5"/>
      <c r="B218" s="5"/>
      <c r="E218" s="17"/>
      <c r="F218" s="17"/>
      <c r="G218" s="17"/>
      <c r="H218" s="17"/>
      <c r="I218" s="17"/>
      <c r="J218" s="17"/>
      <c r="K218" s="17"/>
      <c r="L218" s="32"/>
      <c r="M218" s="61"/>
      <c r="N218" s="23"/>
      <c r="O218" s="23"/>
      <c r="P218" s="9"/>
      <c r="Q218" s="9"/>
      <c r="R218" s="9"/>
      <c r="S218" s="9"/>
      <c r="U218" s="42" t="str">
        <f t="shared" si="27"/>
        <v>, L:, E:, S:, TS:</v>
      </c>
      <c r="V218" s="46" t="str">
        <f t="shared" si="28"/>
        <v/>
      </c>
      <c r="W218" s="46">
        <f>IFERROR(VLOOKUP(A218,Esiehdot!A$11:D$15,4,0), 0)</f>
        <v>0</v>
      </c>
      <c r="X218" s="46">
        <f>IF(Esiehdot!D$4&gt;=IFERROR(VLOOKUP(E218,Valintalistat!D$2:H$7,5,0), 99),1,0)</f>
        <v>0</v>
      </c>
      <c r="Y218" s="46">
        <f>IF(Esiehdot!D$5&gt;=IFERROR(VLOOKUP(F218,Valintalistat!E$2:H$5,4,0), 99),1,0)</f>
        <v>0</v>
      </c>
      <c r="Z218" s="46">
        <f>IF(Esiehdot!D$6&gt;=IFERROR(VLOOKUP(G218,Valintalistat!F$2:H$5,3,0),99),1,0)</f>
        <v>0</v>
      </c>
      <c r="AA218" s="46">
        <f>IF(Esiehdot!D$8&gt;=IFERROR(VLOOKUP(H218,Valintalistat!G$2:H$5,2,0),99),1,0)</f>
        <v>0</v>
      </c>
      <c r="AB218" s="46">
        <f t="shared" si="29"/>
        <v>0</v>
      </c>
      <c r="AC218" s="46">
        <f>IF(Esiehdot!E$4=IFERROR(VLOOKUP(E218,Valintalistat!D$2:H$7,5,0),99),1,0)</f>
        <v>0</v>
      </c>
      <c r="AD218" s="46">
        <f>IF(Esiehdot!E$5=IFERROR(VLOOKUP(F218,Valintalistat!E$2:H$5,4,0),99),1,0)</f>
        <v>0</v>
      </c>
      <c r="AE218" s="46">
        <f>IF(Esiehdot!E$6=IFERROR(VLOOKUP(G218,Valintalistat!F$2:H$5,3,0),99),1,0)</f>
        <v>0</v>
      </c>
      <c r="AF218" s="46">
        <f>IF(Esiehdot!E$8=IFERROR(VLOOKUP(H218,Valintalistat!G$2:H$3,2,0),98),1,0)</f>
        <v>0</v>
      </c>
      <c r="AG218" s="46">
        <f t="shared" si="30"/>
        <v>0</v>
      </c>
      <c r="AH218" s="46">
        <f>IFERROR(HLOOKUP(Esiehdot!$B$17,Käyttötapauskriteerit!G$1:P218,218,0),1)</f>
        <v>1</v>
      </c>
      <c r="AI218" s="46">
        <f t="shared" si="31"/>
        <v>0</v>
      </c>
      <c r="AJ218" s="46">
        <f t="shared" si="32"/>
        <v>0</v>
      </c>
      <c r="AK218" s="46">
        <f t="shared" si="33"/>
        <v>0</v>
      </c>
      <c r="AL218" s="46">
        <f t="shared" si="34"/>
        <v>0</v>
      </c>
      <c r="AM218" s="46"/>
      <c r="AN218" s="45" t="str">
        <f t="shared" si="35"/>
        <v/>
      </c>
      <c r="XDQ218" s="5"/>
      <c r="XDR218" s="5"/>
      <c r="XDS218" s="22"/>
      <c r="XDT218" s="22"/>
      <c r="XDU218" s="17"/>
      <c r="XDV218" s="17"/>
      <c r="XDW218" s="17"/>
      <c r="XDX218" s="17"/>
      <c r="XDY218" s="17"/>
      <c r="XDZ218" s="17"/>
      <c r="XEA218" s="17"/>
      <c r="XEB218" s="32"/>
      <c r="XEC218" s="23"/>
      <c r="XED218" s="23"/>
      <c r="XEE218" s="23"/>
      <c r="XEF218" s="9"/>
      <c r="XEG218" s="9"/>
      <c r="XEH218" s="9"/>
      <c r="XEI218" s="9"/>
      <c r="XEK218" s="5"/>
      <c r="XEL218" s="5"/>
      <c r="XEM218" s="22"/>
      <c r="XEN218" s="22"/>
      <c r="XEO218" s="17"/>
      <c r="XEP218" s="17"/>
      <c r="XEQ218" s="17"/>
      <c r="XER218" s="17"/>
      <c r="XES218" s="17"/>
      <c r="XET218" s="17"/>
      <c r="XEU218" s="17"/>
      <c r="XEV218" s="32"/>
      <c r="XEW218" s="23"/>
      <c r="XEX218" s="23"/>
      <c r="XEY218" s="23"/>
      <c r="XEZ218" s="9"/>
      <c r="XFA218" s="9"/>
      <c r="XFB218" s="9"/>
      <c r="XFC218" s="9"/>
    </row>
    <row r="219" spans="1:40 16325:16383" ht="15.6">
      <c r="A219" s="5"/>
      <c r="B219" s="5"/>
      <c r="E219" s="17"/>
      <c r="F219" s="17"/>
      <c r="G219" s="17"/>
      <c r="H219" s="17"/>
      <c r="I219" s="17"/>
      <c r="J219" s="17"/>
      <c r="K219" s="17"/>
      <c r="L219" s="32"/>
      <c r="M219" s="61"/>
      <c r="N219" s="23"/>
      <c r="O219" s="23"/>
      <c r="P219" s="9"/>
      <c r="Q219" s="9"/>
      <c r="R219" s="9"/>
      <c r="S219" s="9"/>
      <c r="U219" s="42" t="str">
        <f t="shared" si="27"/>
        <v>, L:, E:, S:, TS:</v>
      </c>
      <c r="V219" s="46" t="str">
        <f t="shared" si="28"/>
        <v/>
      </c>
      <c r="W219" s="46">
        <f>IFERROR(VLOOKUP(A219,Esiehdot!A$11:D$15,4,0), 0)</f>
        <v>0</v>
      </c>
      <c r="X219" s="46">
        <f>IF(Esiehdot!D$4&gt;=IFERROR(VLOOKUP(E219,Valintalistat!D$2:H$7,5,0), 99),1,0)</f>
        <v>0</v>
      </c>
      <c r="Y219" s="46">
        <f>IF(Esiehdot!D$5&gt;=IFERROR(VLOOKUP(F219,Valintalistat!E$2:H$5,4,0), 99),1,0)</f>
        <v>0</v>
      </c>
      <c r="Z219" s="46">
        <f>IF(Esiehdot!D$6&gt;=IFERROR(VLOOKUP(G219,Valintalistat!F$2:H$5,3,0),99),1,0)</f>
        <v>0</v>
      </c>
      <c r="AA219" s="46">
        <f>IF(Esiehdot!D$8&gt;=IFERROR(VLOOKUP(H219,Valintalistat!G$2:H$5,2,0),99),1,0)</f>
        <v>0</v>
      </c>
      <c r="AB219" s="46">
        <f t="shared" si="29"/>
        <v>0</v>
      </c>
      <c r="AC219" s="46">
        <f>IF(Esiehdot!E$4=IFERROR(VLOOKUP(E219,Valintalistat!D$2:H$7,5,0),99),1,0)</f>
        <v>0</v>
      </c>
      <c r="AD219" s="46">
        <f>IF(Esiehdot!E$5=IFERROR(VLOOKUP(F219,Valintalistat!E$2:H$5,4,0),99),1,0)</f>
        <v>0</v>
      </c>
      <c r="AE219" s="46">
        <f>IF(Esiehdot!E$6=IFERROR(VLOOKUP(G219,Valintalistat!F$2:H$5,3,0),99),1,0)</f>
        <v>0</v>
      </c>
      <c r="AF219" s="46">
        <f>IF(Esiehdot!E$8=IFERROR(VLOOKUP(H219,Valintalistat!G$2:H$3,2,0),98),1,0)</f>
        <v>0</v>
      </c>
      <c r="AG219" s="46">
        <f t="shared" si="30"/>
        <v>0</v>
      </c>
      <c r="AH219" s="46">
        <f>IFERROR(HLOOKUP(Esiehdot!$B$17,Käyttötapauskriteerit!G$1:P219,219,0),1)</f>
        <v>1</v>
      </c>
      <c r="AI219" s="46">
        <f t="shared" si="31"/>
        <v>0</v>
      </c>
      <c r="AJ219" s="46">
        <f t="shared" si="32"/>
        <v>0</v>
      </c>
      <c r="AK219" s="46">
        <f t="shared" si="33"/>
        <v>0</v>
      </c>
      <c r="AL219" s="46">
        <f t="shared" si="34"/>
        <v>0</v>
      </c>
      <c r="AM219" s="46"/>
      <c r="AN219" s="45" t="str">
        <f t="shared" si="35"/>
        <v/>
      </c>
      <c r="XCW219" s="5"/>
      <c r="XCX219" s="5"/>
      <c r="XCY219" s="22"/>
      <c r="XCZ219" s="22"/>
      <c r="XDA219" s="17"/>
      <c r="XDB219" s="17"/>
      <c r="XDC219" s="17"/>
      <c r="XDD219" s="17"/>
      <c r="XDE219" s="17"/>
      <c r="XDF219" s="17"/>
      <c r="XDG219" s="17"/>
      <c r="XDH219" s="32"/>
      <c r="XDI219" s="23"/>
      <c r="XDJ219" s="23"/>
      <c r="XDK219" s="23"/>
      <c r="XDL219" s="9"/>
      <c r="XDM219" s="9"/>
      <c r="XDN219" s="9"/>
      <c r="XDO219" s="9"/>
      <c r="XDQ219" s="5"/>
      <c r="XDR219" s="5"/>
      <c r="XDS219" s="22"/>
      <c r="XDT219" s="22"/>
      <c r="XDU219" s="17"/>
      <c r="XDV219" s="17"/>
      <c r="XDW219" s="17"/>
      <c r="XDX219" s="17"/>
      <c r="XDY219" s="17"/>
      <c r="XDZ219" s="17"/>
      <c r="XEA219" s="17"/>
      <c r="XEB219" s="32"/>
      <c r="XEC219" s="23"/>
      <c r="XED219" s="23"/>
      <c r="XEE219" s="23"/>
      <c r="XEF219" s="9"/>
      <c r="XEG219" s="9"/>
      <c r="XEH219" s="9"/>
      <c r="XEI219" s="9"/>
      <c r="XEK219" s="5"/>
      <c r="XEL219" s="5"/>
      <c r="XEM219" s="22"/>
      <c r="XEN219" s="22"/>
      <c r="XEO219" s="17"/>
      <c r="XEP219" s="17"/>
      <c r="XEQ219" s="17"/>
      <c r="XER219" s="17"/>
      <c r="XES219" s="17"/>
      <c r="XET219" s="17"/>
      <c r="XEU219" s="17"/>
      <c r="XEV219" s="32"/>
      <c r="XEW219" s="23"/>
      <c r="XEX219" s="23"/>
      <c r="XEY219" s="23"/>
      <c r="XEZ219" s="9"/>
      <c r="XFA219" s="9"/>
      <c r="XFB219" s="9"/>
      <c r="XFC219" s="9"/>
    </row>
    <row r="220" spans="1:40 16325:16383" ht="15.6">
      <c r="A220" s="5"/>
      <c r="B220" s="5"/>
      <c r="E220" s="17"/>
      <c r="F220" s="17"/>
      <c r="G220" s="17"/>
      <c r="H220" s="17"/>
      <c r="I220" s="17"/>
      <c r="J220" s="17"/>
      <c r="K220" s="17"/>
      <c r="L220" s="32"/>
      <c r="M220" s="61"/>
      <c r="N220" s="23"/>
      <c r="O220" s="23"/>
      <c r="P220" s="9"/>
      <c r="Q220" s="9"/>
      <c r="R220" s="9"/>
      <c r="S220" s="9"/>
      <c r="U220" s="42" t="str">
        <f t="shared" si="27"/>
        <v>, L:, E:, S:, TS:</v>
      </c>
      <c r="V220" s="42" t="str">
        <f t="shared" si="28"/>
        <v/>
      </c>
      <c r="W220" s="43">
        <f>IFERROR(VLOOKUP(A220,Esiehdot!A$11:D$15,4,0), 0)</f>
        <v>0</v>
      </c>
      <c r="X220" s="44">
        <f>IF(Esiehdot!D$4&gt;=IFERROR(VLOOKUP(E220,Valintalistat!D$2:H$7,5,0), 99),1,0)</f>
        <v>0</v>
      </c>
      <c r="Y220" s="44">
        <f>IF(Esiehdot!D$5&gt;=IFERROR(VLOOKUP(F220,Valintalistat!E$2:H$5,4,0), 99),1,0)</f>
        <v>0</v>
      </c>
      <c r="Z220" s="44">
        <f>IF(Esiehdot!D$6&gt;=IFERROR(VLOOKUP(G220,Valintalistat!F$2:H$5,3,0),99),1,0)</f>
        <v>0</v>
      </c>
      <c r="AA220" s="44">
        <f>IF(Esiehdot!D$8&gt;=IFERROR(VLOOKUP(H220,Valintalistat!G$2:H$5,2,0),99),1,0)</f>
        <v>0</v>
      </c>
      <c r="AB220" s="43">
        <f t="shared" si="29"/>
        <v>0</v>
      </c>
      <c r="AC220" s="44">
        <f>IF(Esiehdot!E$4=IFERROR(VLOOKUP(E220,Valintalistat!D$2:H$7,5,0),99),1,0)</f>
        <v>0</v>
      </c>
      <c r="AD220" s="44">
        <f>IF(Esiehdot!E$5=IFERROR(VLOOKUP(F220,Valintalistat!E$2:H$5,4,0),99),1,0)</f>
        <v>0</v>
      </c>
      <c r="AE220" s="44">
        <f>IF(Esiehdot!E$6=IFERROR(VLOOKUP(G220,Valintalistat!F$2:H$5,3,0),99),1,0)</f>
        <v>0</v>
      </c>
      <c r="AF220" s="44">
        <f>IF(Esiehdot!E$8=IFERROR(VLOOKUP(H220,Valintalistat!G$2:H$3,2,0),98),1,0)</f>
        <v>0</v>
      </c>
      <c r="AG220" s="43">
        <f t="shared" si="30"/>
        <v>0</v>
      </c>
      <c r="AH220" s="43">
        <f>IFERROR(HLOOKUP(Esiehdot!$B$17,Käyttötapauskriteerit!G$1:P220,220,0),1)</f>
        <v>1</v>
      </c>
      <c r="AI220" s="43">
        <f t="shared" si="31"/>
        <v>0</v>
      </c>
      <c r="AJ220" s="43">
        <f t="shared" si="32"/>
        <v>0</v>
      </c>
      <c r="AK220" s="43">
        <f t="shared" si="33"/>
        <v>0</v>
      </c>
      <c r="AL220" s="43">
        <f t="shared" si="34"/>
        <v>0</v>
      </c>
      <c r="AM220" s="43"/>
      <c r="AN220" s="45" t="str">
        <f t="shared" si="35"/>
        <v/>
      </c>
    </row>
    <row r="221" spans="1:40 16325:16383" ht="15.6">
      <c r="A221" s="5"/>
      <c r="B221" s="5"/>
      <c r="E221" s="17"/>
      <c r="F221" s="17"/>
      <c r="G221" s="17"/>
      <c r="H221" s="17"/>
      <c r="I221" s="17"/>
      <c r="J221" s="17"/>
      <c r="K221" s="17"/>
      <c r="L221" s="32"/>
      <c r="M221" s="61"/>
      <c r="N221" s="23"/>
      <c r="O221" s="23"/>
      <c r="P221" s="9"/>
      <c r="Q221" s="9"/>
      <c r="R221" s="9"/>
      <c r="S221" s="9"/>
      <c r="U221" s="42" t="str">
        <f t="shared" si="27"/>
        <v>, L:, E:, S:, TS:</v>
      </c>
      <c r="V221" s="46" t="str">
        <f t="shared" si="28"/>
        <v/>
      </c>
      <c r="W221" s="46">
        <f>IFERROR(VLOOKUP(A221,Esiehdot!A$11:D$15,4,0), 0)</f>
        <v>0</v>
      </c>
      <c r="X221" s="46">
        <f>IF(Esiehdot!D$4&gt;=IFERROR(VLOOKUP(E221,Valintalistat!D$2:H$7,5,0), 99),1,0)</f>
        <v>0</v>
      </c>
      <c r="Y221" s="46">
        <f>IF(Esiehdot!D$5&gt;=IFERROR(VLOOKUP(F221,Valintalistat!E$2:H$5,4,0), 99),1,0)</f>
        <v>0</v>
      </c>
      <c r="Z221" s="46">
        <f>IF(Esiehdot!D$6&gt;=IFERROR(VLOOKUP(G221,Valintalistat!F$2:H$5,3,0),99),1,0)</f>
        <v>0</v>
      </c>
      <c r="AA221" s="46">
        <f>IF(Esiehdot!D$8&gt;=IFERROR(VLOOKUP(H221,Valintalistat!G$2:H$5,2,0),99),1,0)</f>
        <v>0</v>
      </c>
      <c r="AB221" s="46">
        <f t="shared" si="29"/>
        <v>0</v>
      </c>
      <c r="AC221" s="46">
        <f>IF(Esiehdot!E$4=IFERROR(VLOOKUP(E221,Valintalistat!D$2:H$7,5,0),99),1,0)</f>
        <v>0</v>
      </c>
      <c r="AD221" s="46">
        <f>IF(Esiehdot!E$5=IFERROR(VLOOKUP(F221,Valintalistat!E$2:H$5,4,0),99),1,0)</f>
        <v>0</v>
      </c>
      <c r="AE221" s="46">
        <f>IF(Esiehdot!E$6=IFERROR(VLOOKUP(G221,Valintalistat!F$2:H$5,3,0),99),1,0)</f>
        <v>0</v>
      </c>
      <c r="AF221" s="46">
        <f>IF(Esiehdot!E$8=IFERROR(VLOOKUP(H221,Valintalistat!G$2:H$3,2,0),98),1,0)</f>
        <v>0</v>
      </c>
      <c r="AG221" s="46">
        <f t="shared" si="30"/>
        <v>0</v>
      </c>
      <c r="AH221" s="46">
        <f>IFERROR(HLOOKUP(Esiehdot!$B$17,Käyttötapauskriteerit!G$1:P221,221,0),1)</f>
        <v>1</v>
      </c>
      <c r="AI221" s="46">
        <f t="shared" si="31"/>
        <v>0</v>
      </c>
      <c r="AJ221" s="46">
        <f t="shared" si="32"/>
        <v>0</v>
      </c>
      <c r="AK221" s="46">
        <f t="shared" si="33"/>
        <v>0</v>
      </c>
      <c r="AL221" s="46">
        <f t="shared" si="34"/>
        <v>0</v>
      </c>
      <c r="AM221" s="46"/>
      <c r="AN221" s="45" t="str">
        <f t="shared" si="35"/>
        <v/>
      </c>
      <c r="XEK221" s="5"/>
      <c r="XEL221" s="5"/>
      <c r="XEM221" s="22"/>
      <c r="XEN221" s="22"/>
      <c r="XEO221" s="17"/>
      <c r="XEP221" s="17"/>
      <c r="XEQ221" s="17"/>
      <c r="XER221" s="17"/>
      <c r="XES221" s="17"/>
      <c r="XET221" s="17"/>
      <c r="XEU221" s="17"/>
      <c r="XEV221" s="32"/>
      <c r="XEW221" s="23"/>
      <c r="XEX221" s="23"/>
      <c r="XEY221" s="23"/>
      <c r="XEZ221" s="9"/>
      <c r="XFA221" s="9"/>
      <c r="XFB221" s="9"/>
      <c r="XFC221" s="9"/>
    </row>
    <row r="222" spans="1:40 16325:16383" ht="15.6">
      <c r="A222" s="5"/>
      <c r="B222" s="5"/>
      <c r="E222" s="17"/>
      <c r="F222" s="17"/>
      <c r="G222" s="17"/>
      <c r="H222" s="17"/>
      <c r="I222" s="17"/>
      <c r="J222" s="17"/>
      <c r="K222" s="17"/>
      <c r="L222" s="32"/>
      <c r="M222" s="61"/>
      <c r="N222" s="23"/>
      <c r="O222" s="23"/>
      <c r="P222" s="9"/>
      <c r="Q222" s="9"/>
      <c r="R222" s="9"/>
      <c r="S222" s="9"/>
      <c r="U222" s="42" t="str">
        <f t="shared" si="27"/>
        <v>, L:, E:, S:, TS:</v>
      </c>
      <c r="V222" s="46" t="str">
        <f t="shared" si="28"/>
        <v/>
      </c>
      <c r="W222" s="46">
        <f>IFERROR(VLOOKUP(A222,Esiehdot!A$11:D$15,4,0), 0)</f>
        <v>0</v>
      </c>
      <c r="X222" s="46">
        <f>IF(Esiehdot!D$4&gt;=IFERROR(VLOOKUP(E222,Valintalistat!D$2:H$7,5,0), 99),1,0)</f>
        <v>0</v>
      </c>
      <c r="Y222" s="46">
        <f>IF(Esiehdot!D$5&gt;=IFERROR(VLOOKUP(F222,Valintalistat!E$2:H$5,4,0), 99),1,0)</f>
        <v>0</v>
      </c>
      <c r="Z222" s="46">
        <f>IF(Esiehdot!D$6&gt;=IFERROR(VLOOKUP(G222,Valintalistat!F$2:H$5,3,0),99),1,0)</f>
        <v>0</v>
      </c>
      <c r="AA222" s="46">
        <f>IF(Esiehdot!D$8&gt;=IFERROR(VLOOKUP(H222,Valintalistat!G$2:H$5,2,0),99),1,0)</f>
        <v>0</v>
      </c>
      <c r="AB222" s="46">
        <f t="shared" si="29"/>
        <v>0</v>
      </c>
      <c r="AC222" s="46">
        <f>IF(Esiehdot!E$4=IFERROR(VLOOKUP(E222,Valintalistat!D$2:H$7,5,0),99),1,0)</f>
        <v>0</v>
      </c>
      <c r="AD222" s="46">
        <f>IF(Esiehdot!E$5=IFERROR(VLOOKUP(F222,Valintalistat!E$2:H$5,4,0),99),1,0)</f>
        <v>0</v>
      </c>
      <c r="AE222" s="46">
        <f>IF(Esiehdot!E$6=IFERROR(VLOOKUP(G222,Valintalistat!F$2:H$5,3,0),99),1,0)</f>
        <v>0</v>
      </c>
      <c r="AF222" s="46">
        <f>IF(Esiehdot!E$8=IFERROR(VLOOKUP(H222,Valintalistat!G$2:H$3,2,0),98),1,0)</f>
        <v>0</v>
      </c>
      <c r="AG222" s="46">
        <f t="shared" si="30"/>
        <v>0</v>
      </c>
      <c r="AH222" s="46">
        <f>IFERROR(HLOOKUP(Esiehdot!$B$17,Käyttötapauskriteerit!G$1:P222,222,0),1)</f>
        <v>1</v>
      </c>
      <c r="AI222" s="46">
        <f t="shared" si="31"/>
        <v>0</v>
      </c>
      <c r="AJ222" s="46">
        <f t="shared" si="32"/>
        <v>0</v>
      </c>
      <c r="AK222" s="46">
        <f t="shared" si="33"/>
        <v>0</v>
      </c>
      <c r="AL222" s="46">
        <f t="shared" si="34"/>
        <v>0</v>
      </c>
      <c r="AM222" s="46"/>
      <c r="AN222" s="45" t="str">
        <f t="shared" si="35"/>
        <v/>
      </c>
      <c r="XDQ222" s="5"/>
      <c r="XDR222" s="5"/>
      <c r="XDS222" s="22"/>
      <c r="XDT222" s="22"/>
      <c r="XDU222" s="17"/>
      <c r="XDV222" s="17"/>
      <c r="XDW222" s="17"/>
      <c r="XDX222" s="17"/>
      <c r="XDY222" s="17"/>
      <c r="XDZ222" s="17"/>
      <c r="XEA222" s="17"/>
      <c r="XEB222" s="32"/>
      <c r="XEC222" s="23"/>
      <c r="XED222" s="23"/>
      <c r="XEE222" s="23"/>
      <c r="XEF222" s="9"/>
      <c r="XEG222" s="9"/>
      <c r="XEH222" s="9"/>
      <c r="XEI222" s="9"/>
      <c r="XEK222" s="5"/>
      <c r="XEL222" s="5"/>
      <c r="XEM222" s="22"/>
      <c r="XEN222" s="22"/>
      <c r="XEO222" s="17"/>
      <c r="XEP222" s="17"/>
      <c r="XEQ222" s="17"/>
      <c r="XER222" s="17"/>
      <c r="XES222" s="17"/>
      <c r="XET222" s="17"/>
      <c r="XEU222" s="17"/>
      <c r="XEV222" s="32"/>
      <c r="XEW222" s="23"/>
      <c r="XEX222" s="23"/>
      <c r="XEY222" s="23"/>
      <c r="XEZ222" s="9"/>
      <c r="XFA222" s="9"/>
      <c r="XFB222" s="9"/>
      <c r="XFC222" s="9"/>
    </row>
    <row r="223" spans="1:40 16325:16383" ht="15.6">
      <c r="A223" s="5"/>
      <c r="B223" s="5"/>
      <c r="E223" s="17"/>
      <c r="F223" s="17"/>
      <c r="G223" s="17"/>
      <c r="H223" s="17"/>
      <c r="I223" s="17"/>
      <c r="J223" s="17"/>
      <c r="K223" s="17"/>
      <c r="L223" s="32"/>
      <c r="M223" s="61"/>
      <c r="N223" s="23"/>
      <c r="O223" s="23"/>
      <c r="P223" s="9"/>
      <c r="Q223" s="9"/>
      <c r="R223" s="9"/>
      <c r="S223" s="9"/>
      <c r="U223" s="42" t="str">
        <f t="shared" si="27"/>
        <v>, L:, E:, S:, TS:</v>
      </c>
      <c r="V223" s="42" t="str">
        <f t="shared" si="28"/>
        <v/>
      </c>
      <c r="W223" s="43">
        <f>IFERROR(VLOOKUP(A223,Esiehdot!A$11:D$15,4,0), 0)</f>
        <v>0</v>
      </c>
      <c r="X223" s="44">
        <f>IF(Esiehdot!D$4&gt;=IFERROR(VLOOKUP(E223,Valintalistat!D$2:H$7,5,0), 99),1,0)</f>
        <v>0</v>
      </c>
      <c r="Y223" s="44">
        <f>IF(Esiehdot!D$5&gt;=IFERROR(VLOOKUP(F223,Valintalistat!E$2:H$5,4,0), 99),1,0)</f>
        <v>0</v>
      </c>
      <c r="Z223" s="44">
        <f>IF(Esiehdot!D$6&gt;=IFERROR(VLOOKUP(G223,Valintalistat!F$2:H$5,3,0),99),1,0)</f>
        <v>0</v>
      </c>
      <c r="AA223" s="44">
        <f>IF(Esiehdot!D$8&gt;=IFERROR(VLOOKUP(H223,Valintalistat!G$2:H$5,2,0),99),1,0)</f>
        <v>0</v>
      </c>
      <c r="AB223" s="43">
        <f t="shared" si="29"/>
        <v>0</v>
      </c>
      <c r="AC223" s="44">
        <f>IF(Esiehdot!E$4=IFERROR(VLOOKUP(E223,Valintalistat!D$2:H$7,5,0),99),1,0)</f>
        <v>0</v>
      </c>
      <c r="AD223" s="44">
        <f>IF(Esiehdot!E$5=IFERROR(VLOOKUP(F223,Valintalistat!E$2:H$5,4,0),99),1,0)</f>
        <v>0</v>
      </c>
      <c r="AE223" s="44">
        <f>IF(Esiehdot!E$6=IFERROR(VLOOKUP(G223,Valintalistat!F$2:H$5,3,0),99),1,0)</f>
        <v>0</v>
      </c>
      <c r="AF223" s="44">
        <f>IF(Esiehdot!E$8=IFERROR(VLOOKUP(H223,Valintalistat!G$2:H$3,2,0),98),1,0)</f>
        <v>0</v>
      </c>
      <c r="AG223" s="43">
        <f t="shared" si="30"/>
        <v>0</v>
      </c>
      <c r="AH223" s="43">
        <f>IFERROR(HLOOKUP(Esiehdot!$B$17,Käyttötapauskriteerit!G$1:P223,223,0),1)</f>
        <v>1</v>
      </c>
      <c r="AI223" s="43">
        <f t="shared" si="31"/>
        <v>0</v>
      </c>
      <c r="AJ223" s="43">
        <f t="shared" si="32"/>
        <v>0</v>
      </c>
      <c r="AK223" s="43">
        <f t="shared" si="33"/>
        <v>0</v>
      </c>
      <c r="AL223" s="43">
        <f t="shared" si="34"/>
        <v>0</v>
      </c>
      <c r="AM223" s="43"/>
      <c r="AN223" s="45" t="str">
        <f t="shared" si="35"/>
        <v/>
      </c>
    </row>
    <row r="224" spans="1:40 16325:16383" ht="15.6">
      <c r="A224" s="5"/>
      <c r="B224" s="5"/>
      <c r="E224" s="17"/>
      <c r="F224" s="17"/>
      <c r="G224" s="17"/>
      <c r="H224" s="17"/>
      <c r="I224" s="17"/>
      <c r="J224" s="17"/>
      <c r="K224" s="17"/>
      <c r="L224" s="32"/>
      <c r="M224" s="61"/>
      <c r="N224" s="23"/>
      <c r="O224" s="23"/>
      <c r="P224" s="9"/>
      <c r="Q224" s="9"/>
      <c r="R224" s="9"/>
      <c r="S224" s="9"/>
      <c r="U224" s="42" t="str">
        <f t="shared" si="27"/>
        <v>, L:, E:, S:, TS:</v>
      </c>
      <c r="V224" s="42" t="str">
        <f t="shared" si="28"/>
        <v/>
      </c>
      <c r="W224" s="43">
        <f>IFERROR(VLOOKUP(A224,Esiehdot!A$11:D$15,4,0), 0)</f>
        <v>0</v>
      </c>
      <c r="X224" s="44">
        <f>IF(Esiehdot!D$4&gt;=IFERROR(VLOOKUP(E224,Valintalistat!D$2:H$7,5,0), 99),1,0)</f>
        <v>0</v>
      </c>
      <c r="Y224" s="44">
        <f>IF(Esiehdot!D$5&gt;=IFERROR(VLOOKUP(F224,Valintalistat!E$2:H$5,4,0), 99),1,0)</f>
        <v>0</v>
      </c>
      <c r="Z224" s="44">
        <f>IF(Esiehdot!D$6&gt;=IFERROR(VLOOKUP(G224,Valintalistat!F$2:H$5,3,0),99),1,0)</f>
        <v>0</v>
      </c>
      <c r="AA224" s="44">
        <f>IF(Esiehdot!D$8&gt;=IFERROR(VLOOKUP(H224,Valintalistat!G$2:H$5,2,0),99),1,0)</f>
        <v>0</v>
      </c>
      <c r="AB224" s="43">
        <f t="shared" si="29"/>
        <v>0</v>
      </c>
      <c r="AC224" s="44">
        <f>IF(Esiehdot!E$4=IFERROR(VLOOKUP(E224,Valintalistat!D$2:H$7,5,0),99),1,0)</f>
        <v>0</v>
      </c>
      <c r="AD224" s="44">
        <f>IF(Esiehdot!E$5=IFERROR(VLOOKUP(F224,Valintalistat!E$2:H$5,4,0),99),1,0)</f>
        <v>0</v>
      </c>
      <c r="AE224" s="44">
        <f>IF(Esiehdot!E$6=IFERROR(VLOOKUP(G224,Valintalistat!F$2:H$5,3,0),99),1,0)</f>
        <v>0</v>
      </c>
      <c r="AF224" s="44">
        <f>IF(Esiehdot!E$8=IFERROR(VLOOKUP(H224,Valintalistat!G$2:H$3,2,0),98),1,0)</f>
        <v>0</v>
      </c>
      <c r="AG224" s="43">
        <f t="shared" si="30"/>
        <v>0</v>
      </c>
      <c r="AH224" s="43">
        <f>IFERROR(HLOOKUP(Esiehdot!$B$17,Käyttötapauskriteerit!G$1:P223,224,0),1)</f>
        <v>1</v>
      </c>
      <c r="AI224" s="43">
        <f t="shared" si="31"/>
        <v>0</v>
      </c>
      <c r="AJ224" s="43">
        <f t="shared" si="32"/>
        <v>0</v>
      </c>
      <c r="AK224" s="43">
        <f t="shared" si="33"/>
        <v>0</v>
      </c>
      <c r="AL224" s="43">
        <f t="shared" si="34"/>
        <v>0</v>
      </c>
      <c r="AM224" s="43"/>
      <c r="AN224" s="45" t="str">
        <f t="shared" si="35"/>
        <v/>
      </c>
    </row>
    <row r="225" spans="1:40" ht="15.6">
      <c r="A225" s="5"/>
      <c r="B225" s="5"/>
      <c r="E225" s="17"/>
      <c r="F225" s="17"/>
      <c r="G225" s="17"/>
      <c r="H225" s="17"/>
      <c r="I225" s="17"/>
      <c r="J225" s="17"/>
      <c r="K225" s="17"/>
      <c r="L225" s="32"/>
      <c r="M225" s="61"/>
      <c r="N225" s="23"/>
      <c r="O225" s="23"/>
      <c r="P225" s="9"/>
      <c r="Q225" s="9"/>
      <c r="R225" s="9"/>
      <c r="S225" s="9"/>
      <c r="U225" s="42" t="str">
        <f t="shared" si="27"/>
        <v>, L:, E:, S:, TS:</v>
      </c>
      <c r="V225" s="42" t="str">
        <f t="shared" si="28"/>
        <v/>
      </c>
      <c r="W225" s="43">
        <f>IFERROR(VLOOKUP(A225,Esiehdot!A$11:D$15,4,0), 0)</f>
        <v>0</v>
      </c>
      <c r="X225" s="44">
        <f>IF(Esiehdot!D$4&gt;=IFERROR(VLOOKUP(E225,Valintalistat!D$2:H$7,5,0), 99),1,0)</f>
        <v>0</v>
      </c>
      <c r="Y225" s="44">
        <f>IF(Esiehdot!D$5&gt;=IFERROR(VLOOKUP(F225,Valintalistat!E$2:H$5,4,0), 99),1,0)</f>
        <v>0</v>
      </c>
      <c r="Z225" s="44">
        <f>IF(Esiehdot!D$6&gt;=IFERROR(VLOOKUP(G225,Valintalistat!F$2:H$5,3,0),99),1,0)</f>
        <v>0</v>
      </c>
      <c r="AA225" s="44">
        <f>IF(Esiehdot!D$8&gt;=IFERROR(VLOOKUP(H225,Valintalistat!G$2:H$5,2,0),99),1,0)</f>
        <v>0</v>
      </c>
      <c r="AB225" s="43">
        <f t="shared" si="29"/>
        <v>0</v>
      </c>
      <c r="AC225" s="44">
        <f>IF(Esiehdot!E$4=IFERROR(VLOOKUP(E225,Valintalistat!D$2:H$7,5,0),99),1,0)</f>
        <v>0</v>
      </c>
      <c r="AD225" s="44">
        <f>IF(Esiehdot!E$5=IFERROR(VLOOKUP(F225,Valintalistat!E$2:H$5,4,0),99),1,0)</f>
        <v>0</v>
      </c>
      <c r="AE225" s="44">
        <f>IF(Esiehdot!E$6=IFERROR(VLOOKUP(G225,Valintalistat!F$2:H$5,3,0),99),1,0)</f>
        <v>0</v>
      </c>
      <c r="AF225" s="44">
        <f>IF(Esiehdot!E$8=IFERROR(VLOOKUP(H225,Valintalistat!G$2:H$3,2,0),98),1,0)</f>
        <v>0</v>
      </c>
      <c r="AG225" s="43">
        <f t="shared" si="30"/>
        <v>0</v>
      </c>
      <c r="AH225" s="43">
        <f>IFERROR(HLOOKUP(Esiehdot!$B$17,Käyttötapauskriteerit!G$1:P223,225,0),1)</f>
        <v>1</v>
      </c>
      <c r="AI225" s="43">
        <f t="shared" si="31"/>
        <v>0</v>
      </c>
      <c r="AJ225" s="43">
        <f t="shared" si="32"/>
        <v>0</v>
      </c>
      <c r="AK225" s="43">
        <f t="shared" si="33"/>
        <v>0</v>
      </c>
      <c r="AL225" s="43">
        <f t="shared" si="34"/>
        <v>0</v>
      </c>
      <c r="AM225" s="43"/>
      <c r="AN225" s="45" t="str">
        <f t="shared" si="35"/>
        <v/>
      </c>
    </row>
    <row r="226" spans="1:40" ht="15.6">
      <c r="A226" s="5"/>
      <c r="B226" s="5"/>
      <c r="E226" s="17"/>
      <c r="F226" s="17"/>
      <c r="G226" s="17"/>
      <c r="H226" s="17"/>
      <c r="I226" s="17"/>
      <c r="J226" s="17"/>
      <c r="K226" s="17"/>
      <c r="L226" s="32"/>
      <c r="M226" s="61"/>
      <c r="N226" s="23"/>
      <c r="O226" s="23"/>
      <c r="P226" s="9"/>
      <c r="Q226" s="9"/>
      <c r="R226" s="9"/>
      <c r="S226" s="9"/>
      <c r="U226" s="42" t="str">
        <f t="shared" si="27"/>
        <v>, L:, E:, S:, TS:</v>
      </c>
      <c r="V226" s="42" t="str">
        <f t="shared" si="28"/>
        <v/>
      </c>
      <c r="W226" s="43">
        <f>IFERROR(VLOOKUP(A226,Esiehdot!A$11:D$15,4,0), 0)</f>
        <v>0</v>
      </c>
      <c r="X226" s="44">
        <f>IF(Esiehdot!D$4&gt;=IFERROR(VLOOKUP(E226,Valintalistat!D$2:H$7,5,0), 99),1,0)</f>
        <v>0</v>
      </c>
      <c r="Y226" s="44">
        <f>IF(Esiehdot!D$5&gt;=IFERROR(VLOOKUP(F226,Valintalistat!E$2:H$5,4,0), 99),1,0)</f>
        <v>0</v>
      </c>
      <c r="Z226" s="44">
        <f>IF(Esiehdot!D$6&gt;=IFERROR(VLOOKUP(G226,Valintalistat!F$2:H$5,3,0),99),1,0)</f>
        <v>0</v>
      </c>
      <c r="AA226" s="44">
        <f>IF(Esiehdot!D$8&gt;=IFERROR(VLOOKUP(H226,Valintalistat!G$2:H$5,2,0),99),1,0)</f>
        <v>0</v>
      </c>
      <c r="AB226" s="43">
        <f t="shared" si="29"/>
        <v>0</v>
      </c>
      <c r="AC226" s="44">
        <f>IF(Esiehdot!E$4=IFERROR(VLOOKUP(E226,Valintalistat!D$2:H$7,5,0),99),1,0)</f>
        <v>0</v>
      </c>
      <c r="AD226" s="44">
        <f>IF(Esiehdot!E$5=IFERROR(VLOOKUP(F226,Valintalistat!E$2:H$5,4,0),99),1,0)</f>
        <v>0</v>
      </c>
      <c r="AE226" s="44">
        <f>IF(Esiehdot!E$6=IFERROR(VLOOKUP(G226,Valintalistat!F$2:H$5,3,0),99),1,0)</f>
        <v>0</v>
      </c>
      <c r="AF226" s="44">
        <f>IF(Esiehdot!E$8=IFERROR(VLOOKUP(H226,Valintalistat!G$2:H$3,2,0),98),1,0)</f>
        <v>0</v>
      </c>
      <c r="AG226" s="43">
        <f t="shared" si="30"/>
        <v>0</v>
      </c>
      <c r="AH226" s="43">
        <f>IFERROR(HLOOKUP(Esiehdot!$B$17,Käyttötapauskriteerit!G$1:P223,226,0),1)</f>
        <v>1</v>
      </c>
      <c r="AI226" s="43">
        <f t="shared" si="31"/>
        <v>0</v>
      </c>
      <c r="AJ226" s="43">
        <f t="shared" si="32"/>
        <v>0</v>
      </c>
      <c r="AK226" s="43">
        <f t="shared" si="33"/>
        <v>0</v>
      </c>
      <c r="AL226" s="43">
        <f t="shared" si="34"/>
        <v>0</v>
      </c>
      <c r="AM226" s="43"/>
      <c r="AN226" s="45" t="str">
        <f t="shared" si="35"/>
        <v/>
      </c>
    </row>
    <row r="227" spans="1:40" ht="15.6">
      <c r="A227" s="5"/>
      <c r="B227" s="5"/>
      <c r="E227" s="17"/>
      <c r="F227" s="17"/>
      <c r="G227" s="17"/>
      <c r="H227" s="17"/>
      <c r="I227" s="17"/>
      <c r="J227" s="17"/>
      <c r="K227" s="17"/>
      <c r="L227" s="32"/>
      <c r="M227" s="61"/>
      <c r="N227" s="23"/>
      <c r="O227" s="23"/>
      <c r="P227" s="9"/>
      <c r="Q227" s="9"/>
      <c r="R227" s="9"/>
      <c r="S227" s="9"/>
      <c r="U227" s="42" t="str">
        <f t="shared" si="27"/>
        <v>, L:, E:, S:, TS:</v>
      </c>
      <c r="V227" s="42" t="str">
        <f t="shared" si="28"/>
        <v/>
      </c>
      <c r="W227" s="43">
        <f>IFERROR(VLOOKUP(A227,Esiehdot!A$11:D$15,4,0), 0)</f>
        <v>0</v>
      </c>
      <c r="X227" s="44">
        <f>IF(Esiehdot!D$4&gt;=IFERROR(VLOOKUP(E227,Valintalistat!D$2:H$7,5,0), 99),1,0)</f>
        <v>0</v>
      </c>
      <c r="Y227" s="44">
        <f>IF(Esiehdot!D$5&gt;=IFERROR(VLOOKUP(F227,Valintalistat!E$2:H$5,4,0), 99),1,0)</f>
        <v>0</v>
      </c>
      <c r="Z227" s="44">
        <f>IF(Esiehdot!D$6&gt;=IFERROR(VLOOKUP(G227,Valintalistat!F$2:H$5,3,0),99),1,0)</f>
        <v>0</v>
      </c>
      <c r="AA227" s="44">
        <f>IF(Esiehdot!D$8&gt;=IFERROR(VLOOKUP(H227,Valintalistat!G$2:H$5,2,0),99),1,0)</f>
        <v>0</v>
      </c>
      <c r="AB227" s="43">
        <f t="shared" si="29"/>
        <v>0</v>
      </c>
      <c r="AC227" s="44">
        <f>IF(Esiehdot!E$4=IFERROR(VLOOKUP(E227,Valintalistat!D$2:H$7,5,0),99),1,0)</f>
        <v>0</v>
      </c>
      <c r="AD227" s="44">
        <f>IF(Esiehdot!E$5=IFERROR(VLOOKUP(F227,Valintalistat!E$2:H$5,4,0),99),1,0)</f>
        <v>0</v>
      </c>
      <c r="AE227" s="44">
        <f>IF(Esiehdot!E$6=IFERROR(VLOOKUP(G227,Valintalistat!F$2:H$5,3,0),99),1,0)</f>
        <v>0</v>
      </c>
      <c r="AF227" s="44">
        <f>IF(Esiehdot!E$8=IFERROR(VLOOKUP(H227,Valintalistat!G$2:H$3,2,0),98),1,0)</f>
        <v>0</v>
      </c>
      <c r="AG227" s="43">
        <f t="shared" si="30"/>
        <v>0</v>
      </c>
      <c r="AH227" s="43">
        <f>IFERROR(HLOOKUP(Esiehdot!$B$17,Käyttötapauskriteerit!G$1:P223,227,0),1)</f>
        <v>1</v>
      </c>
      <c r="AI227" s="43">
        <f t="shared" si="31"/>
        <v>0</v>
      </c>
      <c r="AJ227" s="43">
        <f t="shared" si="32"/>
        <v>0</v>
      </c>
      <c r="AK227" s="43">
        <f t="shared" si="33"/>
        <v>0</v>
      </c>
      <c r="AL227" s="43">
        <f t="shared" si="34"/>
        <v>0</v>
      </c>
      <c r="AM227" s="43"/>
      <c r="AN227" s="45" t="str">
        <f t="shared" si="35"/>
        <v/>
      </c>
    </row>
    <row r="228" spans="1:40" ht="15.6">
      <c r="A228" s="5"/>
      <c r="B228" s="5"/>
      <c r="E228" s="17"/>
      <c r="F228" s="17"/>
      <c r="G228" s="17"/>
      <c r="H228" s="17"/>
      <c r="I228" s="17"/>
      <c r="J228" s="17"/>
      <c r="K228" s="17"/>
      <c r="L228" s="32"/>
      <c r="M228" s="61"/>
      <c r="N228" s="23"/>
      <c r="O228" s="23"/>
      <c r="P228" s="9"/>
      <c r="Q228" s="9"/>
      <c r="R228" s="9"/>
      <c r="S228" s="9"/>
      <c r="U228" s="42" t="str">
        <f t="shared" si="27"/>
        <v>, L:, E:, S:, TS:</v>
      </c>
      <c r="V228" s="42" t="str">
        <f t="shared" si="28"/>
        <v/>
      </c>
      <c r="W228" s="43">
        <f>IFERROR(VLOOKUP(A228,Esiehdot!A$11:D$15,4,0), 0)</f>
        <v>0</v>
      </c>
      <c r="X228" s="44">
        <f>IF(Esiehdot!D$4&gt;=IFERROR(VLOOKUP(E228,Valintalistat!D$2:H$7,5,0), 99),1,0)</f>
        <v>0</v>
      </c>
      <c r="Y228" s="44">
        <f>IF(Esiehdot!D$5&gt;=IFERROR(VLOOKUP(F228,Valintalistat!E$2:H$5,4,0), 99),1,0)</f>
        <v>0</v>
      </c>
      <c r="Z228" s="44">
        <f>IF(Esiehdot!D$6&gt;=IFERROR(VLOOKUP(G228,Valintalistat!F$2:H$5,3,0),99),1,0)</f>
        <v>0</v>
      </c>
      <c r="AA228" s="44">
        <f>IF(Esiehdot!D$8&gt;=IFERROR(VLOOKUP(H228,Valintalistat!G$2:H$5,2,0),99),1,0)</f>
        <v>0</v>
      </c>
      <c r="AB228" s="43">
        <f t="shared" si="29"/>
        <v>0</v>
      </c>
      <c r="AC228" s="44">
        <f>IF(Esiehdot!E$4=IFERROR(VLOOKUP(E228,Valintalistat!D$2:H$7,5,0),99),1,0)</f>
        <v>0</v>
      </c>
      <c r="AD228" s="44">
        <f>IF(Esiehdot!E$5=IFERROR(VLOOKUP(F228,Valintalistat!E$2:H$5,4,0),99),1,0)</f>
        <v>0</v>
      </c>
      <c r="AE228" s="44">
        <f>IF(Esiehdot!E$6=IFERROR(VLOOKUP(G228,Valintalistat!F$2:H$5,3,0),99),1,0)</f>
        <v>0</v>
      </c>
      <c r="AF228" s="44">
        <f>IF(Esiehdot!E$8=IFERROR(VLOOKUP(H228,Valintalistat!G$2:H$3,2,0),98),1,0)</f>
        <v>0</v>
      </c>
      <c r="AG228" s="43">
        <f t="shared" si="30"/>
        <v>0</v>
      </c>
      <c r="AH228" s="43">
        <f>IFERROR(HLOOKUP(Esiehdot!$B$17,Käyttötapauskriteerit!G$1:P223,228,0),1)</f>
        <v>1</v>
      </c>
      <c r="AI228" s="43">
        <f t="shared" si="31"/>
        <v>0</v>
      </c>
      <c r="AJ228" s="43">
        <f t="shared" si="32"/>
        <v>0</v>
      </c>
      <c r="AK228" s="43">
        <f t="shared" si="33"/>
        <v>0</v>
      </c>
      <c r="AL228" s="43">
        <f t="shared" si="34"/>
        <v>0</v>
      </c>
      <c r="AM228" s="43"/>
      <c r="AN228" s="45" t="str">
        <f t="shared" si="35"/>
        <v/>
      </c>
    </row>
    <row r="229" spans="1:40" ht="15.6">
      <c r="A229" s="5"/>
      <c r="B229" s="5"/>
      <c r="E229" s="17"/>
      <c r="F229" s="17"/>
      <c r="G229" s="17"/>
      <c r="H229" s="17"/>
      <c r="I229" s="17"/>
      <c r="J229" s="17"/>
      <c r="K229" s="17"/>
      <c r="L229" s="32"/>
      <c r="M229" s="61"/>
      <c r="N229" s="23"/>
      <c r="O229" s="23"/>
      <c r="P229" s="9"/>
      <c r="Q229" s="9"/>
      <c r="R229" s="9"/>
      <c r="S229" s="9"/>
      <c r="U229" s="42" t="str">
        <f t="shared" si="27"/>
        <v>, L:, E:, S:, TS:</v>
      </c>
      <c r="V229" s="42" t="str">
        <f t="shared" si="28"/>
        <v/>
      </c>
      <c r="W229" s="43">
        <f>IFERROR(VLOOKUP(A229,Esiehdot!A$11:D$15,4,0), 0)</f>
        <v>0</v>
      </c>
      <c r="X229" s="44">
        <f>IF(Esiehdot!D$4&gt;=IFERROR(VLOOKUP(E229,Valintalistat!D$2:H$7,5,0), 99),1,0)</f>
        <v>0</v>
      </c>
      <c r="Y229" s="44">
        <f>IF(Esiehdot!D$5&gt;=IFERROR(VLOOKUP(F229,Valintalistat!E$2:H$5,4,0), 99),1,0)</f>
        <v>0</v>
      </c>
      <c r="Z229" s="44">
        <f>IF(Esiehdot!D$6&gt;=IFERROR(VLOOKUP(G229,Valintalistat!F$2:H$5,3,0),99),1,0)</f>
        <v>0</v>
      </c>
      <c r="AA229" s="44">
        <f>IF(Esiehdot!D$8&gt;=IFERROR(VLOOKUP(H229,Valintalistat!G$2:H$5,2,0),99),1,0)</f>
        <v>0</v>
      </c>
      <c r="AB229" s="43">
        <f t="shared" si="29"/>
        <v>0</v>
      </c>
      <c r="AC229" s="44">
        <f>IF(Esiehdot!E$4=IFERROR(VLOOKUP(E229,Valintalistat!D$2:H$7,5,0),99),1,0)</f>
        <v>0</v>
      </c>
      <c r="AD229" s="44">
        <f>IF(Esiehdot!E$5=IFERROR(VLOOKUP(F229,Valintalistat!E$2:H$5,4,0),99),1,0)</f>
        <v>0</v>
      </c>
      <c r="AE229" s="44">
        <f>IF(Esiehdot!E$6=IFERROR(VLOOKUP(G229,Valintalistat!F$2:H$5,3,0),99),1,0)</f>
        <v>0</v>
      </c>
      <c r="AF229" s="44">
        <f>IF(Esiehdot!E$8=IFERROR(VLOOKUP(H229,Valintalistat!G$2:H$3,2,0),98),1,0)</f>
        <v>0</v>
      </c>
      <c r="AG229" s="43">
        <f t="shared" si="30"/>
        <v>0</v>
      </c>
      <c r="AH229" s="43">
        <f>IFERROR(HLOOKUP(Esiehdot!$B$17,Käyttötapauskriteerit!G$1:P223,229,0),1)</f>
        <v>1</v>
      </c>
      <c r="AI229" s="43">
        <f t="shared" si="31"/>
        <v>0</v>
      </c>
      <c r="AJ229" s="43">
        <f t="shared" si="32"/>
        <v>0</v>
      </c>
      <c r="AK229" s="43">
        <f t="shared" si="33"/>
        <v>0</v>
      </c>
      <c r="AL229" s="43">
        <f t="shared" si="34"/>
        <v>0</v>
      </c>
      <c r="AM229" s="43"/>
      <c r="AN229" s="45" t="str">
        <f t="shared" si="35"/>
        <v/>
      </c>
    </row>
    <row r="230" spans="1:40" ht="15.6">
      <c r="A230" s="5"/>
      <c r="B230" s="5"/>
      <c r="E230" s="17"/>
      <c r="F230" s="17"/>
      <c r="G230" s="17"/>
      <c r="H230" s="17"/>
      <c r="I230" s="17"/>
      <c r="J230" s="17"/>
      <c r="K230" s="17"/>
      <c r="L230" s="32"/>
      <c r="M230" s="61"/>
      <c r="N230" s="23"/>
      <c r="O230" s="23"/>
      <c r="P230" s="9"/>
      <c r="Q230" s="9"/>
      <c r="R230" s="9"/>
      <c r="S230" s="9"/>
      <c r="U230" s="42" t="str">
        <f t="shared" si="27"/>
        <v>, L:, E:, S:, TS:</v>
      </c>
      <c r="V230" s="42" t="str">
        <f t="shared" si="28"/>
        <v/>
      </c>
      <c r="W230" s="43">
        <f>IFERROR(VLOOKUP(A230,Esiehdot!A$11:D$15,4,0), 0)</f>
        <v>0</v>
      </c>
      <c r="X230" s="44">
        <f>IF(Esiehdot!D$4&gt;=IFERROR(VLOOKUP(E230,Valintalistat!D$2:H$7,5,0), 99),1,0)</f>
        <v>0</v>
      </c>
      <c r="Y230" s="44">
        <f>IF(Esiehdot!D$5&gt;=IFERROR(VLOOKUP(F230,Valintalistat!E$2:H$5,4,0), 99),1,0)</f>
        <v>0</v>
      </c>
      <c r="Z230" s="44">
        <f>IF(Esiehdot!D$6&gt;=IFERROR(VLOOKUP(G230,Valintalistat!F$2:H$5,3,0),99),1,0)</f>
        <v>0</v>
      </c>
      <c r="AA230" s="44">
        <f>IF(Esiehdot!D$8&gt;=IFERROR(VLOOKUP(H230,Valintalistat!G$2:H$5,2,0),99),1,0)</f>
        <v>0</v>
      </c>
      <c r="AB230" s="43">
        <f t="shared" si="29"/>
        <v>0</v>
      </c>
      <c r="AC230" s="44">
        <f>IF(Esiehdot!E$4=IFERROR(VLOOKUP(E230,Valintalistat!D$2:H$7,5,0),99),1,0)</f>
        <v>0</v>
      </c>
      <c r="AD230" s="44">
        <f>IF(Esiehdot!E$5=IFERROR(VLOOKUP(F230,Valintalistat!E$2:H$5,4,0),99),1,0)</f>
        <v>0</v>
      </c>
      <c r="AE230" s="44">
        <f>IF(Esiehdot!E$6=IFERROR(VLOOKUP(G230,Valintalistat!F$2:H$5,3,0),99),1,0)</f>
        <v>0</v>
      </c>
      <c r="AF230" s="44">
        <f>IF(Esiehdot!E$8=IFERROR(VLOOKUP(H230,Valintalistat!G$2:H$3,2,0),98),1,0)</f>
        <v>0</v>
      </c>
      <c r="AG230" s="43">
        <f t="shared" si="30"/>
        <v>0</v>
      </c>
      <c r="AH230" s="43">
        <f>IFERROR(HLOOKUP(Esiehdot!$B$17,Käyttötapauskriteerit!G$1:P223,230,0),1)</f>
        <v>1</v>
      </c>
      <c r="AI230" s="43">
        <f t="shared" si="31"/>
        <v>0</v>
      </c>
      <c r="AJ230" s="43">
        <f t="shared" si="32"/>
        <v>0</v>
      </c>
      <c r="AK230" s="43">
        <f t="shared" si="33"/>
        <v>0</v>
      </c>
      <c r="AL230" s="43">
        <f t="shared" si="34"/>
        <v>0</v>
      </c>
      <c r="AM230" s="43"/>
      <c r="AN230" s="45" t="str">
        <f t="shared" si="35"/>
        <v/>
      </c>
    </row>
    <row r="231" spans="1:40" ht="15.6">
      <c r="A231" s="5"/>
      <c r="B231" s="5"/>
      <c r="E231" s="17"/>
      <c r="F231" s="17"/>
      <c r="G231" s="17"/>
      <c r="H231" s="17"/>
      <c r="I231" s="17"/>
      <c r="J231" s="17"/>
      <c r="K231" s="17"/>
      <c r="L231" s="32"/>
      <c r="M231" s="61"/>
      <c r="N231" s="23"/>
      <c r="O231" s="23"/>
      <c r="P231" s="9"/>
      <c r="Q231" s="9"/>
      <c r="R231" s="9"/>
      <c r="S231" s="9"/>
      <c r="U231" s="42" t="str">
        <f t="shared" si="27"/>
        <v>, L:, E:, S:, TS:</v>
      </c>
      <c r="V231" s="42" t="str">
        <f t="shared" si="28"/>
        <v/>
      </c>
      <c r="W231" s="43">
        <f>IFERROR(VLOOKUP(A231,Esiehdot!A$11:D$15,4,0), 0)</f>
        <v>0</v>
      </c>
      <c r="X231" s="44">
        <f>IF(Esiehdot!D$4&gt;=IFERROR(VLOOKUP(E231,Valintalistat!D$2:H$7,5,0), 99),1,0)</f>
        <v>0</v>
      </c>
      <c r="Y231" s="44">
        <f>IF(Esiehdot!D$5&gt;=IFERROR(VLOOKUP(F231,Valintalistat!E$2:H$5,4,0), 99),1,0)</f>
        <v>0</v>
      </c>
      <c r="Z231" s="44">
        <f>IF(Esiehdot!D$6&gt;=IFERROR(VLOOKUP(G231,Valintalistat!F$2:H$5,3,0),99),1,0)</f>
        <v>0</v>
      </c>
      <c r="AA231" s="44">
        <f>IF(Esiehdot!D$8&gt;=IFERROR(VLOOKUP(H231,Valintalistat!G$2:H$5,2,0),99),1,0)</f>
        <v>0</v>
      </c>
      <c r="AB231" s="43">
        <f t="shared" si="29"/>
        <v>0</v>
      </c>
      <c r="AC231" s="44">
        <f>IF(Esiehdot!E$4=IFERROR(VLOOKUP(E231,Valintalistat!D$2:H$7,5,0),99),1,0)</f>
        <v>0</v>
      </c>
      <c r="AD231" s="44">
        <f>IF(Esiehdot!E$5=IFERROR(VLOOKUP(F231,Valintalistat!E$2:H$5,4,0),99),1,0)</f>
        <v>0</v>
      </c>
      <c r="AE231" s="44">
        <f>IF(Esiehdot!E$6=IFERROR(VLOOKUP(G231,Valintalistat!F$2:H$5,3,0),99),1,0)</f>
        <v>0</v>
      </c>
      <c r="AF231" s="44">
        <f>IF(Esiehdot!E$8=IFERROR(VLOOKUP(H231,Valintalistat!G$2:H$3,2,0),98),1,0)</f>
        <v>0</v>
      </c>
      <c r="AG231" s="43">
        <f t="shared" si="30"/>
        <v>0</v>
      </c>
      <c r="AH231" s="43">
        <f>IFERROR(HLOOKUP(Esiehdot!$B$17,Käyttötapauskriteerit!G$1:P223,231,0),1)</f>
        <v>1</v>
      </c>
      <c r="AI231" s="43">
        <f t="shared" si="31"/>
        <v>0</v>
      </c>
      <c r="AJ231" s="43">
        <f t="shared" si="32"/>
        <v>0</v>
      </c>
      <c r="AK231" s="43">
        <f t="shared" si="33"/>
        <v>0</v>
      </c>
      <c r="AL231" s="43">
        <f t="shared" si="34"/>
        <v>0</v>
      </c>
      <c r="AM231" s="43"/>
      <c r="AN231" s="45" t="str">
        <f t="shared" si="35"/>
        <v/>
      </c>
    </row>
    <row r="232" spans="1:40" ht="15.6">
      <c r="A232" s="5"/>
      <c r="B232" s="5"/>
      <c r="E232" s="17"/>
      <c r="F232" s="17"/>
      <c r="G232" s="17"/>
      <c r="H232" s="17"/>
      <c r="I232" s="17"/>
      <c r="J232" s="17"/>
      <c r="K232" s="17"/>
      <c r="L232" s="32"/>
      <c r="M232" s="61"/>
      <c r="N232" s="23"/>
      <c r="O232" s="23"/>
      <c r="P232" s="9"/>
      <c r="Q232" s="9"/>
      <c r="R232" s="9"/>
      <c r="S232" s="9"/>
      <c r="U232" s="42" t="str">
        <f t="shared" si="27"/>
        <v>, L:, E:, S:, TS:</v>
      </c>
      <c r="V232" s="42" t="str">
        <f t="shared" si="28"/>
        <v/>
      </c>
      <c r="W232" s="43">
        <f>IFERROR(VLOOKUP(A232,Esiehdot!A$11:D$15,4,0), 0)</f>
        <v>0</v>
      </c>
      <c r="X232" s="44">
        <f>IF(Esiehdot!D$4&gt;=IFERROR(VLOOKUP(E232,Valintalistat!D$2:H$7,5,0), 99),1,0)</f>
        <v>0</v>
      </c>
      <c r="Y232" s="44">
        <f>IF(Esiehdot!D$5&gt;=IFERROR(VLOOKUP(F232,Valintalistat!E$2:H$5,4,0), 99),1,0)</f>
        <v>0</v>
      </c>
      <c r="Z232" s="44">
        <f>IF(Esiehdot!D$6&gt;=IFERROR(VLOOKUP(G232,Valintalistat!F$2:H$5,3,0),99),1,0)</f>
        <v>0</v>
      </c>
      <c r="AA232" s="44">
        <f>IF(Esiehdot!D$8&gt;=IFERROR(VLOOKUP(H232,Valintalistat!G$2:H$5,2,0),99),1,0)</f>
        <v>0</v>
      </c>
      <c r="AB232" s="43">
        <f t="shared" si="29"/>
        <v>0</v>
      </c>
      <c r="AC232" s="44">
        <f>IF(Esiehdot!E$4=IFERROR(VLOOKUP(E232,Valintalistat!D$2:H$7,5,0),99),1,0)</f>
        <v>0</v>
      </c>
      <c r="AD232" s="44">
        <f>IF(Esiehdot!E$5=IFERROR(VLOOKUP(F232,Valintalistat!E$2:H$5,4,0),99),1,0)</f>
        <v>0</v>
      </c>
      <c r="AE232" s="44">
        <f>IF(Esiehdot!E$6=IFERROR(VLOOKUP(G232,Valintalistat!F$2:H$5,3,0),99),1,0)</f>
        <v>0</v>
      </c>
      <c r="AF232" s="44">
        <f>IF(Esiehdot!E$8=IFERROR(VLOOKUP(H232,Valintalistat!G$2:H$3,2,0),98),1,0)</f>
        <v>0</v>
      </c>
      <c r="AG232" s="43">
        <f t="shared" si="30"/>
        <v>0</v>
      </c>
      <c r="AH232" s="43">
        <f>IFERROR(HLOOKUP(Esiehdot!$B$17,Käyttötapauskriteerit!G$1:P223,232,0),1)</f>
        <v>1</v>
      </c>
      <c r="AI232" s="43">
        <f t="shared" si="31"/>
        <v>0</v>
      </c>
      <c r="AJ232" s="43">
        <f t="shared" si="32"/>
        <v>0</v>
      </c>
      <c r="AK232" s="43">
        <f t="shared" si="33"/>
        <v>0</v>
      </c>
      <c r="AL232" s="43">
        <f t="shared" si="34"/>
        <v>0</v>
      </c>
      <c r="AM232" s="43"/>
      <c r="AN232" s="45" t="str">
        <f t="shared" si="35"/>
        <v/>
      </c>
    </row>
    <row r="233" spans="1:40" ht="15.6">
      <c r="A233" s="5"/>
      <c r="B233" s="5"/>
      <c r="E233" s="17"/>
      <c r="F233" s="17"/>
      <c r="G233" s="17"/>
      <c r="H233" s="17"/>
      <c r="I233" s="17"/>
      <c r="J233" s="17"/>
      <c r="K233" s="17"/>
      <c r="L233" s="32"/>
      <c r="M233" s="61"/>
      <c r="N233" s="23"/>
      <c r="O233" s="23"/>
      <c r="P233" s="9"/>
      <c r="Q233" s="9"/>
      <c r="R233" s="9"/>
      <c r="S233" s="9"/>
      <c r="U233" s="42" t="str">
        <f t="shared" si="27"/>
        <v>, L:, E:, S:, TS:</v>
      </c>
      <c r="V233" s="42" t="str">
        <f t="shared" si="28"/>
        <v/>
      </c>
      <c r="W233" s="43">
        <f>IFERROR(VLOOKUP(A233,Esiehdot!A$11:D$15,4,0), 0)</f>
        <v>0</v>
      </c>
      <c r="X233" s="44">
        <f>IF(Esiehdot!D$4&gt;=IFERROR(VLOOKUP(E233,Valintalistat!D$2:H$7,5,0), 99),1,0)</f>
        <v>0</v>
      </c>
      <c r="Y233" s="44">
        <f>IF(Esiehdot!D$5&gt;=IFERROR(VLOOKUP(F233,Valintalistat!E$2:H$5,4,0), 99),1,0)</f>
        <v>0</v>
      </c>
      <c r="Z233" s="44">
        <f>IF(Esiehdot!D$6&gt;=IFERROR(VLOOKUP(G233,Valintalistat!F$2:H$5,3,0),99),1,0)</f>
        <v>0</v>
      </c>
      <c r="AA233" s="44">
        <f>IF(Esiehdot!D$8&gt;=IFERROR(VLOOKUP(H233,Valintalistat!G$2:H$5,2,0),99),1,0)</f>
        <v>0</v>
      </c>
      <c r="AB233" s="43">
        <f t="shared" si="29"/>
        <v>0</v>
      </c>
      <c r="AC233" s="44">
        <f>IF(Esiehdot!E$4=IFERROR(VLOOKUP(E233,Valintalistat!D$2:H$7,5,0),99),1,0)</f>
        <v>0</v>
      </c>
      <c r="AD233" s="44">
        <f>IF(Esiehdot!E$5=IFERROR(VLOOKUP(F233,Valintalistat!E$2:H$5,4,0),99),1,0)</f>
        <v>0</v>
      </c>
      <c r="AE233" s="44">
        <f>IF(Esiehdot!E$6=IFERROR(VLOOKUP(G233,Valintalistat!F$2:H$5,3,0),99),1,0)</f>
        <v>0</v>
      </c>
      <c r="AF233" s="44">
        <f>IF(Esiehdot!E$8=IFERROR(VLOOKUP(H233,Valintalistat!G$2:H$3,2,0),98),1,0)</f>
        <v>0</v>
      </c>
      <c r="AG233" s="43">
        <f t="shared" si="30"/>
        <v>0</v>
      </c>
      <c r="AH233" s="43">
        <f>IFERROR(HLOOKUP(Esiehdot!$B$17,Käyttötapauskriteerit!G$1:P223,233,0),1)</f>
        <v>1</v>
      </c>
      <c r="AI233" s="43">
        <f t="shared" si="31"/>
        <v>0</v>
      </c>
      <c r="AJ233" s="43">
        <f t="shared" si="32"/>
        <v>0</v>
      </c>
      <c r="AK233" s="43">
        <f t="shared" si="33"/>
        <v>0</v>
      </c>
      <c r="AL233" s="43">
        <f t="shared" si="34"/>
        <v>0</v>
      </c>
      <c r="AM233" s="43"/>
      <c r="AN233" s="45" t="str">
        <f t="shared" si="35"/>
        <v/>
      </c>
    </row>
    <row r="234" spans="1:40" ht="15.6">
      <c r="A234" s="5"/>
      <c r="B234" s="5"/>
      <c r="E234" s="17"/>
      <c r="F234" s="17"/>
      <c r="G234" s="17"/>
      <c r="H234" s="17"/>
      <c r="I234" s="17"/>
      <c r="J234" s="17"/>
      <c r="K234" s="17"/>
      <c r="L234" s="32"/>
      <c r="M234" s="61"/>
      <c r="N234" s="23"/>
      <c r="O234" s="23"/>
      <c r="P234" s="9"/>
      <c r="Q234" s="9"/>
      <c r="R234" s="9"/>
      <c r="S234" s="9"/>
      <c r="U234" s="42" t="str">
        <f t="shared" si="27"/>
        <v>, L:, E:, S:, TS:</v>
      </c>
      <c r="V234" s="42" t="str">
        <f t="shared" si="28"/>
        <v/>
      </c>
      <c r="W234" s="43">
        <f>IFERROR(VLOOKUP(A234,Esiehdot!A$11:D$15,4,0), 0)</f>
        <v>0</v>
      </c>
      <c r="X234" s="44">
        <f>IF(Esiehdot!D$4&gt;=IFERROR(VLOOKUP(E234,Valintalistat!D$2:H$7,5,0), 99),1,0)</f>
        <v>0</v>
      </c>
      <c r="Y234" s="44">
        <f>IF(Esiehdot!D$5&gt;=IFERROR(VLOOKUP(F234,Valintalistat!E$2:H$5,4,0), 99),1,0)</f>
        <v>0</v>
      </c>
      <c r="Z234" s="44">
        <f>IF(Esiehdot!D$6&gt;=IFERROR(VLOOKUP(G234,Valintalistat!F$2:H$5,3,0),99),1,0)</f>
        <v>0</v>
      </c>
      <c r="AA234" s="44">
        <f>IF(Esiehdot!D$8&gt;=IFERROR(VLOOKUP(H234,Valintalistat!G$2:H$5,2,0),99),1,0)</f>
        <v>0</v>
      </c>
      <c r="AB234" s="43">
        <f t="shared" si="29"/>
        <v>0</v>
      </c>
      <c r="AC234" s="44">
        <f>IF(Esiehdot!E$4=IFERROR(VLOOKUP(E234,Valintalistat!D$2:H$7,5,0),99),1,0)</f>
        <v>0</v>
      </c>
      <c r="AD234" s="44">
        <f>IF(Esiehdot!E$5=IFERROR(VLOOKUP(F234,Valintalistat!E$2:H$5,4,0),99),1,0)</f>
        <v>0</v>
      </c>
      <c r="AE234" s="44">
        <f>IF(Esiehdot!E$6=IFERROR(VLOOKUP(G234,Valintalistat!F$2:H$5,3,0),99),1,0)</f>
        <v>0</v>
      </c>
      <c r="AF234" s="44">
        <f>IF(Esiehdot!E$8=IFERROR(VLOOKUP(H234,Valintalistat!G$2:H$3,2,0),98),1,0)</f>
        <v>0</v>
      </c>
      <c r="AG234" s="43">
        <f t="shared" si="30"/>
        <v>0</v>
      </c>
      <c r="AH234" s="43">
        <f>IFERROR(HLOOKUP(Esiehdot!$B$17,Käyttötapauskriteerit!G$1:P223,234,0),1)</f>
        <v>1</v>
      </c>
      <c r="AI234" s="43">
        <f t="shared" si="31"/>
        <v>0</v>
      </c>
      <c r="AJ234" s="43">
        <f t="shared" si="32"/>
        <v>0</v>
      </c>
      <c r="AK234" s="43">
        <f t="shared" si="33"/>
        <v>0</v>
      </c>
      <c r="AL234" s="43">
        <f t="shared" si="34"/>
        <v>0</v>
      </c>
      <c r="AM234" s="43"/>
      <c r="AN234" s="45" t="str">
        <f t="shared" si="35"/>
        <v/>
      </c>
    </row>
    <row r="235" spans="1:40" ht="15.6">
      <c r="A235" s="5"/>
      <c r="B235" s="5"/>
      <c r="E235" s="17"/>
      <c r="F235" s="17"/>
      <c r="G235" s="17"/>
      <c r="H235" s="17"/>
      <c r="I235" s="17"/>
      <c r="J235" s="17"/>
      <c r="K235" s="17"/>
      <c r="L235" s="32"/>
      <c r="M235" s="61"/>
      <c r="N235" s="23"/>
      <c r="O235" s="23"/>
      <c r="P235" s="9"/>
      <c r="Q235" s="9"/>
      <c r="R235" s="9"/>
      <c r="S235" s="9"/>
      <c r="U235" s="42" t="str">
        <f t="shared" si="27"/>
        <v>, L:, E:, S:, TS:</v>
      </c>
      <c r="V235" s="42" t="str">
        <f t="shared" si="28"/>
        <v/>
      </c>
      <c r="W235" s="43">
        <f>IFERROR(VLOOKUP(A235,Esiehdot!A$11:D$15,4,0), 0)</f>
        <v>0</v>
      </c>
      <c r="X235" s="44">
        <f>IF(Esiehdot!D$4&gt;=IFERROR(VLOOKUP(E235,Valintalistat!D$2:H$7,5,0), 99),1,0)</f>
        <v>0</v>
      </c>
      <c r="Y235" s="44">
        <f>IF(Esiehdot!D$5&gt;=IFERROR(VLOOKUP(F235,Valintalistat!E$2:H$5,4,0), 99),1,0)</f>
        <v>0</v>
      </c>
      <c r="Z235" s="44">
        <f>IF(Esiehdot!D$6&gt;=IFERROR(VLOOKUP(G235,Valintalistat!F$2:H$5,3,0),99),1,0)</f>
        <v>0</v>
      </c>
      <c r="AA235" s="44">
        <f>IF(Esiehdot!D$8&gt;=IFERROR(VLOOKUP(H235,Valintalistat!G$2:H$5,2,0),99),1,0)</f>
        <v>0</v>
      </c>
      <c r="AB235" s="43">
        <f t="shared" si="29"/>
        <v>0</v>
      </c>
      <c r="AC235" s="44">
        <f>IF(Esiehdot!E$4=IFERROR(VLOOKUP(E235,Valintalistat!D$2:H$7,5,0),99),1,0)</f>
        <v>0</v>
      </c>
      <c r="AD235" s="44">
        <f>IF(Esiehdot!E$5=IFERROR(VLOOKUP(F235,Valintalistat!E$2:H$5,4,0),99),1,0)</f>
        <v>0</v>
      </c>
      <c r="AE235" s="44">
        <f>IF(Esiehdot!E$6=IFERROR(VLOOKUP(G235,Valintalistat!F$2:H$5,3,0),99),1,0)</f>
        <v>0</v>
      </c>
      <c r="AF235" s="44">
        <f>IF(Esiehdot!E$8=IFERROR(VLOOKUP(H235,Valintalistat!G$2:H$3,2,0),98),1,0)</f>
        <v>0</v>
      </c>
      <c r="AG235" s="43">
        <f t="shared" si="30"/>
        <v>0</v>
      </c>
      <c r="AH235" s="43">
        <f>IFERROR(HLOOKUP(Esiehdot!$B$17,Käyttötapauskriteerit!G$1:P223,235,0),1)</f>
        <v>1</v>
      </c>
      <c r="AI235" s="43">
        <f t="shared" si="31"/>
        <v>0</v>
      </c>
      <c r="AJ235" s="43">
        <f t="shared" si="32"/>
        <v>0</v>
      </c>
      <c r="AK235" s="43">
        <f t="shared" si="33"/>
        <v>0</v>
      </c>
      <c r="AL235" s="43">
        <f t="shared" si="34"/>
        <v>0</v>
      </c>
      <c r="AM235" s="43"/>
      <c r="AN235" s="45" t="str">
        <f t="shared" si="35"/>
        <v/>
      </c>
    </row>
    <row r="236" spans="1:40" ht="15.6">
      <c r="A236" s="5"/>
      <c r="B236" s="5"/>
      <c r="E236" s="17"/>
      <c r="F236" s="17"/>
      <c r="G236" s="17"/>
      <c r="H236" s="17"/>
      <c r="I236" s="17"/>
      <c r="J236" s="17"/>
      <c r="K236" s="17"/>
      <c r="L236" s="32"/>
      <c r="M236" s="61"/>
      <c r="N236" s="23"/>
      <c r="O236" s="23"/>
      <c r="P236" s="9"/>
      <c r="Q236" s="9"/>
      <c r="R236" s="9"/>
      <c r="S236" s="9"/>
      <c r="U236" s="42" t="str">
        <f t="shared" si="27"/>
        <v>, L:, E:, S:, TS:</v>
      </c>
      <c r="V236" s="42" t="str">
        <f t="shared" si="28"/>
        <v/>
      </c>
      <c r="W236" s="43">
        <f>IFERROR(VLOOKUP(A236,Esiehdot!A$11:D$15,4,0), 0)</f>
        <v>0</v>
      </c>
      <c r="X236" s="44">
        <f>IF(Esiehdot!D$4&gt;=IFERROR(VLOOKUP(E236,Valintalistat!D$2:H$7,5,0), 99),1,0)</f>
        <v>0</v>
      </c>
      <c r="Y236" s="44">
        <f>IF(Esiehdot!D$5&gt;=IFERROR(VLOOKUP(F236,Valintalistat!E$2:H$5,4,0), 99),1,0)</f>
        <v>0</v>
      </c>
      <c r="Z236" s="44">
        <f>IF(Esiehdot!D$6&gt;=IFERROR(VLOOKUP(G236,Valintalistat!F$2:H$5,3,0),99),1,0)</f>
        <v>0</v>
      </c>
      <c r="AA236" s="44">
        <f>IF(Esiehdot!D$8&gt;=IFERROR(VLOOKUP(H236,Valintalistat!G$2:H$5,2,0),99),1,0)</f>
        <v>0</v>
      </c>
      <c r="AB236" s="43">
        <f t="shared" si="29"/>
        <v>0</v>
      </c>
      <c r="AC236" s="44">
        <f>IF(Esiehdot!E$4=IFERROR(VLOOKUP(E236,Valintalistat!D$2:H$7,5,0),99),1,0)</f>
        <v>0</v>
      </c>
      <c r="AD236" s="44">
        <f>IF(Esiehdot!E$5=IFERROR(VLOOKUP(F236,Valintalistat!E$2:H$5,4,0),99),1,0)</f>
        <v>0</v>
      </c>
      <c r="AE236" s="44">
        <f>IF(Esiehdot!E$6=IFERROR(VLOOKUP(G236,Valintalistat!F$2:H$5,3,0),99),1,0)</f>
        <v>0</v>
      </c>
      <c r="AF236" s="44">
        <f>IF(Esiehdot!E$8=IFERROR(VLOOKUP(H236,Valintalistat!G$2:H$3,2,0),98),1,0)</f>
        <v>0</v>
      </c>
      <c r="AG236" s="43">
        <f t="shared" si="30"/>
        <v>0</v>
      </c>
      <c r="AH236" s="43">
        <f>IFERROR(HLOOKUP(Esiehdot!$B$17,Käyttötapauskriteerit!G$1:P223,236,0),1)</f>
        <v>1</v>
      </c>
      <c r="AI236" s="43">
        <f t="shared" si="31"/>
        <v>0</v>
      </c>
      <c r="AJ236" s="43">
        <f t="shared" si="32"/>
        <v>0</v>
      </c>
      <c r="AK236" s="43">
        <f t="shared" si="33"/>
        <v>0</v>
      </c>
      <c r="AL236" s="43">
        <f t="shared" si="34"/>
        <v>0</v>
      </c>
      <c r="AM236" s="43"/>
      <c r="AN236" s="45" t="str">
        <f t="shared" si="35"/>
        <v/>
      </c>
    </row>
    <row r="237" spans="1:40" ht="15.6">
      <c r="A237" s="5"/>
      <c r="B237" s="5"/>
      <c r="E237" s="17"/>
      <c r="F237" s="17"/>
      <c r="G237" s="17"/>
      <c r="H237" s="17"/>
      <c r="I237" s="17"/>
      <c r="J237" s="17"/>
      <c r="K237" s="17"/>
      <c r="L237" s="32"/>
      <c r="M237" s="61"/>
      <c r="N237" s="23"/>
      <c r="O237" s="23"/>
      <c r="P237" s="9"/>
      <c r="Q237" s="9"/>
      <c r="R237" s="9"/>
      <c r="S237" s="9"/>
      <c r="U237" s="42" t="str">
        <f t="shared" si="27"/>
        <v>, L:, E:, S:, TS:</v>
      </c>
      <c r="V237" s="42" t="str">
        <f t="shared" si="28"/>
        <v/>
      </c>
      <c r="W237" s="43">
        <f>IFERROR(VLOOKUP(A237,Esiehdot!A$11:D$15,4,0), 0)</f>
        <v>0</v>
      </c>
      <c r="X237" s="44">
        <f>IF(Esiehdot!D$4&gt;=IFERROR(VLOOKUP(E237,Valintalistat!D$2:H$7,5,0), 99),1,0)</f>
        <v>0</v>
      </c>
      <c r="Y237" s="44">
        <f>IF(Esiehdot!D$5&gt;=IFERROR(VLOOKUP(F237,Valintalistat!E$2:H$5,4,0), 99),1,0)</f>
        <v>0</v>
      </c>
      <c r="Z237" s="44">
        <f>IF(Esiehdot!D$6&gt;=IFERROR(VLOOKUP(G237,Valintalistat!F$2:H$5,3,0),99),1,0)</f>
        <v>0</v>
      </c>
      <c r="AA237" s="44">
        <f>IF(Esiehdot!D$8&gt;=IFERROR(VLOOKUP(H237,Valintalistat!G$2:H$5,2,0),99),1,0)</f>
        <v>0</v>
      </c>
      <c r="AB237" s="43">
        <f t="shared" si="29"/>
        <v>0</v>
      </c>
      <c r="AC237" s="44">
        <f>IF(Esiehdot!E$4=IFERROR(VLOOKUP(E237,Valintalistat!D$2:H$7,5,0),99),1,0)</f>
        <v>0</v>
      </c>
      <c r="AD237" s="44">
        <f>IF(Esiehdot!E$5=IFERROR(VLOOKUP(F237,Valintalistat!E$2:H$5,4,0),99),1,0)</f>
        <v>0</v>
      </c>
      <c r="AE237" s="44">
        <f>IF(Esiehdot!E$6=IFERROR(VLOOKUP(G237,Valintalistat!F$2:H$5,3,0),99),1,0)</f>
        <v>0</v>
      </c>
      <c r="AF237" s="44">
        <f>IF(Esiehdot!E$8=IFERROR(VLOOKUP(H237,Valintalistat!G$2:H$3,2,0),98),1,0)</f>
        <v>0</v>
      </c>
      <c r="AG237" s="43">
        <f t="shared" si="30"/>
        <v>0</v>
      </c>
      <c r="AH237" s="43">
        <f>IFERROR(HLOOKUP(Esiehdot!$B$17,Käyttötapauskriteerit!G$1:P223,237,0),1)</f>
        <v>1</v>
      </c>
      <c r="AI237" s="43">
        <f t="shared" si="31"/>
        <v>0</v>
      </c>
      <c r="AJ237" s="43">
        <f t="shared" si="32"/>
        <v>0</v>
      </c>
      <c r="AK237" s="43">
        <f t="shared" si="33"/>
        <v>0</v>
      </c>
      <c r="AL237" s="43">
        <f t="shared" si="34"/>
        <v>0</v>
      </c>
      <c r="AM237" s="43"/>
      <c r="AN237" s="45" t="str">
        <f t="shared" si="35"/>
        <v/>
      </c>
    </row>
    <row r="238" spans="1:40" ht="15.6">
      <c r="A238" s="5"/>
      <c r="B238" s="5"/>
      <c r="E238" s="17"/>
      <c r="F238" s="17"/>
      <c r="G238" s="17"/>
      <c r="H238" s="17"/>
      <c r="I238" s="17"/>
      <c r="J238" s="17"/>
      <c r="K238" s="17"/>
      <c r="L238" s="32"/>
      <c r="M238" s="61"/>
      <c r="N238" s="23"/>
      <c r="O238" s="23"/>
      <c r="P238" s="9"/>
      <c r="Q238" s="9"/>
      <c r="R238" s="9"/>
      <c r="S238" s="9"/>
      <c r="U238" s="42" t="str">
        <f t="shared" si="27"/>
        <v>, L:, E:, S:, TS:</v>
      </c>
      <c r="V238" s="42" t="str">
        <f t="shared" si="28"/>
        <v/>
      </c>
      <c r="W238" s="43">
        <f>IFERROR(VLOOKUP(A238,Esiehdot!A$11:D$15,4,0), 0)</f>
        <v>0</v>
      </c>
      <c r="X238" s="44">
        <f>IF(Esiehdot!D$4&gt;=IFERROR(VLOOKUP(E238,Valintalistat!D$2:H$7,5,0), 99),1,0)</f>
        <v>0</v>
      </c>
      <c r="Y238" s="44">
        <f>IF(Esiehdot!D$5&gt;=IFERROR(VLOOKUP(F238,Valintalistat!E$2:H$5,4,0), 99),1,0)</f>
        <v>0</v>
      </c>
      <c r="Z238" s="44">
        <f>IF(Esiehdot!D$6&gt;=IFERROR(VLOOKUP(G238,Valintalistat!F$2:H$5,3,0),99),1,0)</f>
        <v>0</v>
      </c>
      <c r="AA238" s="44">
        <f>IF(Esiehdot!D$8&gt;=IFERROR(VLOOKUP(H238,Valintalistat!G$2:H$5,2,0),99),1,0)</f>
        <v>0</v>
      </c>
      <c r="AB238" s="43">
        <f t="shared" si="29"/>
        <v>0</v>
      </c>
      <c r="AC238" s="44">
        <f>IF(Esiehdot!E$4=IFERROR(VLOOKUP(E238,Valintalistat!D$2:H$7,5,0),99),1,0)</f>
        <v>0</v>
      </c>
      <c r="AD238" s="44">
        <f>IF(Esiehdot!E$5=IFERROR(VLOOKUP(F238,Valintalistat!E$2:H$5,4,0),99),1,0)</f>
        <v>0</v>
      </c>
      <c r="AE238" s="44">
        <f>IF(Esiehdot!E$6=IFERROR(VLOOKUP(G238,Valintalistat!F$2:H$5,3,0),99),1,0)</f>
        <v>0</v>
      </c>
      <c r="AF238" s="44">
        <f>IF(Esiehdot!E$8=IFERROR(VLOOKUP(H238,Valintalistat!G$2:H$3,2,0),98),1,0)</f>
        <v>0</v>
      </c>
      <c r="AG238" s="43">
        <f t="shared" si="30"/>
        <v>0</v>
      </c>
      <c r="AH238" s="43">
        <f>IFERROR(HLOOKUP(Esiehdot!$B$17,Käyttötapauskriteerit!G$1:P223,238,0),1)</f>
        <v>1</v>
      </c>
      <c r="AI238" s="43">
        <f t="shared" si="31"/>
        <v>0</v>
      </c>
      <c r="AJ238" s="43">
        <f t="shared" si="32"/>
        <v>0</v>
      </c>
      <c r="AK238" s="43">
        <f t="shared" si="33"/>
        <v>0</v>
      </c>
      <c r="AL238" s="43">
        <f t="shared" si="34"/>
        <v>0</v>
      </c>
      <c r="AM238" s="43"/>
      <c r="AN238" s="45" t="str">
        <f t="shared" si="35"/>
        <v/>
      </c>
    </row>
    <row r="239" spans="1:40" ht="15.6">
      <c r="A239" s="5"/>
      <c r="B239" s="5"/>
      <c r="E239" s="17"/>
      <c r="F239" s="17"/>
      <c r="G239" s="17"/>
      <c r="H239" s="17"/>
      <c r="I239" s="17"/>
      <c r="J239" s="17"/>
      <c r="K239" s="17"/>
      <c r="L239" s="32"/>
      <c r="M239" s="61"/>
      <c r="N239" s="23"/>
      <c r="O239" s="23"/>
      <c r="P239" s="9"/>
      <c r="Q239" s="9"/>
      <c r="R239" s="9"/>
      <c r="S239" s="9"/>
      <c r="U239" s="42" t="str">
        <f t="shared" si="27"/>
        <v>, L:, E:, S:, TS:</v>
      </c>
      <c r="V239" s="42" t="str">
        <f t="shared" si="28"/>
        <v/>
      </c>
      <c r="W239" s="43">
        <f>IFERROR(VLOOKUP(A239,Esiehdot!A$11:D$15,4,0), 0)</f>
        <v>0</v>
      </c>
      <c r="X239" s="44">
        <f>IF(Esiehdot!D$4&gt;=IFERROR(VLOOKUP(E239,Valintalistat!D$2:H$7,5,0), 99),1,0)</f>
        <v>0</v>
      </c>
      <c r="Y239" s="44">
        <f>IF(Esiehdot!D$5&gt;=IFERROR(VLOOKUP(F239,Valintalistat!E$2:H$5,4,0), 99),1,0)</f>
        <v>0</v>
      </c>
      <c r="Z239" s="44">
        <f>IF(Esiehdot!D$6&gt;=IFERROR(VLOOKUP(G239,Valintalistat!F$2:H$5,3,0),99),1,0)</f>
        <v>0</v>
      </c>
      <c r="AA239" s="44">
        <f>IF(Esiehdot!D$8&gt;=IFERROR(VLOOKUP(H239,Valintalistat!G$2:H$5,2,0),99),1,0)</f>
        <v>0</v>
      </c>
      <c r="AB239" s="43">
        <f t="shared" si="29"/>
        <v>0</v>
      </c>
      <c r="AC239" s="44">
        <f>IF(Esiehdot!E$4=IFERROR(VLOOKUP(E239,Valintalistat!D$2:H$7,5,0),99),1,0)</f>
        <v>0</v>
      </c>
      <c r="AD239" s="44">
        <f>IF(Esiehdot!E$5=IFERROR(VLOOKUP(F239,Valintalistat!E$2:H$5,4,0),99),1,0)</f>
        <v>0</v>
      </c>
      <c r="AE239" s="44">
        <f>IF(Esiehdot!E$6=IFERROR(VLOOKUP(G239,Valintalistat!F$2:H$5,3,0),99),1,0)</f>
        <v>0</v>
      </c>
      <c r="AF239" s="44">
        <f>IF(Esiehdot!E$8=IFERROR(VLOOKUP(H239,Valintalistat!G$2:H$3,2,0),98),1,0)</f>
        <v>0</v>
      </c>
      <c r="AG239" s="43">
        <f t="shared" si="30"/>
        <v>0</v>
      </c>
      <c r="AH239" s="43">
        <f>IFERROR(HLOOKUP(Esiehdot!$B$17,Käyttötapauskriteerit!G$1:P223,239,0),1)</f>
        <v>1</v>
      </c>
      <c r="AI239" s="43">
        <f t="shared" si="31"/>
        <v>0</v>
      </c>
      <c r="AJ239" s="43">
        <f t="shared" si="32"/>
        <v>0</v>
      </c>
      <c r="AK239" s="43">
        <f t="shared" si="33"/>
        <v>0</v>
      </c>
      <c r="AL239" s="43">
        <f t="shared" si="34"/>
        <v>0</v>
      </c>
      <c r="AM239" s="43"/>
      <c r="AN239" s="45" t="str">
        <f t="shared" si="35"/>
        <v/>
      </c>
    </row>
    <row r="240" spans="1:40" ht="15.6">
      <c r="A240" s="5"/>
      <c r="B240" s="5"/>
      <c r="E240" s="17"/>
      <c r="F240" s="17"/>
      <c r="G240" s="17"/>
      <c r="H240" s="17"/>
      <c r="I240" s="17"/>
      <c r="J240" s="17"/>
      <c r="K240" s="17"/>
      <c r="L240" s="32"/>
      <c r="M240" s="61"/>
      <c r="N240" s="23"/>
      <c r="O240" s="23"/>
      <c r="P240" s="9"/>
      <c r="Q240" s="9"/>
      <c r="R240" s="9"/>
      <c r="S240" s="9"/>
      <c r="U240" s="42" t="str">
        <f t="shared" si="27"/>
        <v>, L:, E:, S:, TS:</v>
      </c>
      <c r="V240" s="42" t="str">
        <f t="shared" si="28"/>
        <v/>
      </c>
      <c r="W240" s="43">
        <f>IFERROR(VLOOKUP(A240,Esiehdot!A$11:D$15,4,0), 0)</f>
        <v>0</v>
      </c>
      <c r="X240" s="44">
        <f>IF(Esiehdot!D$4&gt;=IFERROR(VLOOKUP(E240,Valintalistat!D$2:H$7,5,0), 99),1,0)</f>
        <v>0</v>
      </c>
      <c r="Y240" s="44">
        <f>IF(Esiehdot!D$5&gt;=IFERROR(VLOOKUP(F240,Valintalistat!E$2:H$5,4,0), 99),1,0)</f>
        <v>0</v>
      </c>
      <c r="Z240" s="44">
        <f>IF(Esiehdot!D$6&gt;=IFERROR(VLOOKUP(G240,Valintalistat!F$2:H$5,3,0),99),1,0)</f>
        <v>0</v>
      </c>
      <c r="AA240" s="44">
        <f>IF(Esiehdot!D$8&gt;=IFERROR(VLOOKUP(H240,Valintalistat!G$2:H$5,2,0),99),1,0)</f>
        <v>0</v>
      </c>
      <c r="AB240" s="43">
        <f t="shared" si="29"/>
        <v>0</v>
      </c>
      <c r="AC240" s="44">
        <f>IF(Esiehdot!E$4=IFERROR(VLOOKUP(E240,Valintalistat!D$2:H$7,5,0),99),1,0)</f>
        <v>0</v>
      </c>
      <c r="AD240" s="44">
        <f>IF(Esiehdot!E$5=IFERROR(VLOOKUP(F240,Valintalistat!E$2:H$5,4,0),99),1,0)</f>
        <v>0</v>
      </c>
      <c r="AE240" s="44">
        <f>IF(Esiehdot!E$6=IFERROR(VLOOKUP(G240,Valintalistat!F$2:H$5,3,0),99),1,0)</f>
        <v>0</v>
      </c>
      <c r="AF240" s="44">
        <f>IF(Esiehdot!E$8=IFERROR(VLOOKUP(H240,Valintalistat!G$2:H$3,2,0),98),1,0)</f>
        <v>0</v>
      </c>
      <c r="AG240" s="43">
        <f t="shared" si="30"/>
        <v>0</v>
      </c>
      <c r="AH240" s="43">
        <f>IFERROR(HLOOKUP(Esiehdot!$B$17,Käyttötapauskriteerit!G$1:P223,240,0),1)</f>
        <v>1</v>
      </c>
      <c r="AI240" s="43">
        <f t="shared" si="31"/>
        <v>0</v>
      </c>
      <c r="AJ240" s="43">
        <f t="shared" si="32"/>
        <v>0</v>
      </c>
      <c r="AK240" s="43">
        <f t="shared" si="33"/>
        <v>0</v>
      </c>
      <c r="AL240" s="43">
        <f t="shared" si="34"/>
        <v>0</v>
      </c>
      <c r="AM240" s="43"/>
      <c r="AN240" s="45" t="str">
        <f t="shared" si="35"/>
        <v/>
      </c>
    </row>
    <row r="241" spans="1:40" ht="15.6">
      <c r="A241" s="5"/>
      <c r="B241" s="5"/>
      <c r="E241" s="17"/>
      <c r="F241" s="17"/>
      <c r="G241" s="17"/>
      <c r="H241" s="17"/>
      <c r="I241" s="17"/>
      <c r="J241" s="17"/>
      <c r="K241" s="17"/>
      <c r="L241" s="32"/>
      <c r="M241" s="61"/>
      <c r="N241" s="23"/>
      <c r="O241" s="23"/>
      <c r="P241" s="9"/>
      <c r="Q241" s="9"/>
      <c r="R241" s="9"/>
      <c r="S241" s="9"/>
      <c r="U241" s="42" t="str">
        <f t="shared" si="27"/>
        <v>, L:, E:, S:, TS:</v>
      </c>
      <c r="V241" s="42" t="str">
        <f t="shared" si="28"/>
        <v/>
      </c>
      <c r="W241" s="43">
        <f>IFERROR(VLOOKUP(A241,Esiehdot!A$11:D$15,4,0), 0)</f>
        <v>0</v>
      </c>
      <c r="X241" s="44">
        <f>IF(Esiehdot!D$4&gt;=IFERROR(VLOOKUP(E241,Valintalistat!D$2:H$7,5,0), 99),1,0)</f>
        <v>0</v>
      </c>
      <c r="Y241" s="44">
        <f>IF(Esiehdot!D$5&gt;=IFERROR(VLOOKUP(F241,Valintalistat!E$2:H$5,4,0), 99),1,0)</f>
        <v>0</v>
      </c>
      <c r="Z241" s="44">
        <f>IF(Esiehdot!D$6&gt;=IFERROR(VLOOKUP(G241,Valintalistat!F$2:H$5,3,0),99),1,0)</f>
        <v>0</v>
      </c>
      <c r="AA241" s="44">
        <f>IF(Esiehdot!D$8&gt;=IFERROR(VLOOKUP(H241,Valintalistat!G$2:H$5,2,0),99),1,0)</f>
        <v>0</v>
      </c>
      <c r="AB241" s="43">
        <f t="shared" si="29"/>
        <v>0</v>
      </c>
      <c r="AC241" s="44">
        <f>IF(Esiehdot!E$4=IFERROR(VLOOKUP(E241,Valintalistat!D$2:H$7,5,0),99),1,0)</f>
        <v>0</v>
      </c>
      <c r="AD241" s="44">
        <f>IF(Esiehdot!E$5=IFERROR(VLOOKUP(F241,Valintalistat!E$2:H$5,4,0),99),1,0)</f>
        <v>0</v>
      </c>
      <c r="AE241" s="44">
        <f>IF(Esiehdot!E$6=IFERROR(VLOOKUP(G241,Valintalistat!F$2:H$5,3,0),99),1,0)</f>
        <v>0</v>
      </c>
      <c r="AF241" s="44">
        <f>IF(Esiehdot!E$8=IFERROR(VLOOKUP(H241,Valintalistat!G$2:H$3,2,0),98),1,0)</f>
        <v>0</v>
      </c>
      <c r="AG241" s="43">
        <f t="shared" si="30"/>
        <v>0</v>
      </c>
      <c r="AH241" s="43">
        <f>IFERROR(HLOOKUP(Esiehdot!$B$17,Käyttötapauskriteerit!G$1:P223,241,0),1)</f>
        <v>1</v>
      </c>
      <c r="AI241" s="43">
        <f t="shared" si="31"/>
        <v>0</v>
      </c>
      <c r="AJ241" s="43">
        <f t="shared" si="32"/>
        <v>0</v>
      </c>
      <c r="AK241" s="43">
        <f t="shared" si="33"/>
        <v>0</v>
      </c>
      <c r="AL241" s="43">
        <f t="shared" si="34"/>
        <v>0</v>
      </c>
      <c r="AM241" s="43"/>
      <c r="AN241" s="45" t="str">
        <f t="shared" si="35"/>
        <v/>
      </c>
    </row>
    <row r="242" spans="1:40" ht="15.6">
      <c r="A242" s="5"/>
      <c r="B242" s="5"/>
      <c r="E242" s="17"/>
      <c r="F242" s="17"/>
      <c r="G242" s="17"/>
      <c r="H242" s="17"/>
      <c r="I242" s="17"/>
      <c r="J242" s="17"/>
      <c r="K242" s="17"/>
      <c r="L242" s="32"/>
      <c r="M242" s="61"/>
      <c r="N242" s="23"/>
      <c r="O242" s="23"/>
      <c r="P242" s="9"/>
      <c r="Q242" s="9"/>
      <c r="R242" s="9"/>
      <c r="S242" s="9"/>
      <c r="U242" s="42" t="str">
        <f t="shared" si="27"/>
        <v>, L:, E:, S:, TS:</v>
      </c>
      <c r="V242" s="42" t="str">
        <f t="shared" si="28"/>
        <v/>
      </c>
      <c r="W242" s="43">
        <f>IFERROR(VLOOKUP(A242,Esiehdot!A$11:D$15,4,0), 0)</f>
        <v>0</v>
      </c>
      <c r="X242" s="44">
        <f>IF(Esiehdot!D$4&gt;=IFERROR(VLOOKUP(E242,Valintalistat!D$2:H$7,5,0), 99),1,0)</f>
        <v>0</v>
      </c>
      <c r="Y242" s="44">
        <f>IF(Esiehdot!D$5&gt;=IFERROR(VLOOKUP(F242,Valintalistat!E$2:H$5,4,0), 99),1,0)</f>
        <v>0</v>
      </c>
      <c r="Z242" s="44">
        <f>IF(Esiehdot!D$6&gt;=IFERROR(VLOOKUP(G242,Valintalistat!F$2:H$5,3,0),99),1,0)</f>
        <v>0</v>
      </c>
      <c r="AA242" s="44">
        <f>IF(Esiehdot!D$8&gt;=IFERROR(VLOOKUP(H242,Valintalistat!G$2:H$5,2,0),99),1,0)</f>
        <v>0</v>
      </c>
      <c r="AB242" s="43">
        <f t="shared" si="29"/>
        <v>0</v>
      </c>
      <c r="AC242" s="44">
        <f>IF(Esiehdot!E$4=IFERROR(VLOOKUP(E242,Valintalistat!D$2:H$7,5,0),99),1,0)</f>
        <v>0</v>
      </c>
      <c r="AD242" s="44">
        <f>IF(Esiehdot!E$5=IFERROR(VLOOKUP(F242,Valintalistat!E$2:H$5,4,0),99),1,0)</f>
        <v>0</v>
      </c>
      <c r="AE242" s="44">
        <f>IF(Esiehdot!E$6=IFERROR(VLOOKUP(G242,Valintalistat!F$2:H$5,3,0),99),1,0)</f>
        <v>0</v>
      </c>
      <c r="AF242" s="44">
        <f>IF(Esiehdot!E$8=IFERROR(VLOOKUP(H242,Valintalistat!G$2:H$3,2,0),98),1,0)</f>
        <v>0</v>
      </c>
      <c r="AG242" s="43">
        <f t="shared" si="30"/>
        <v>0</v>
      </c>
      <c r="AH242" s="43">
        <f>IFERROR(HLOOKUP(Esiehdot!$B$17,Käyttötapauskriteerit!G$1:P223,242,0),1)</f>
        <v>1</v>
      </c>
      <c r="AI242" s="43">
        <f t="shared" si="31"/>
        <v>0</v>
      </c>
      <c r="AJ242" s="43">
        <f t="shared" si="32"/>
        <v>0</v>
      </c>
      <c r="AK242" s="43">
        <f t="shared" si="33"/>
        <v>0</v>
      </c>
      <c r="AL242" s="43">
        <f t="shared" si="34"/>
        <v>0</v>
      </c>
      <c r="AM242" s="43"/>
      <c r="AN242" s="45" t="str">
        <f t="shared" si="35"/>
        <v/>
      </c>
    </row>
    <row r="243" spans="1:40" ht="15.6">
      <c r="A243" s="5"/>
      <c r="B243" s="5"/>
      <c r="E243" s="17"/>
      <c r="F243" s="17"/>
      <c r="G243" s="17"/>
      <c r="H243" s="17"/>
      <c r="I243" s="17"/>
      <c r="J243" s="17"/>
      <c r="K243" s="17"/>
      <c r="L243" s="32"/>
      <c r="M243" s="61"/>
      <c r="N243" s="23"/>
      <c r="O243" s="23"/>
      <c r="P243" s="9"/>
      <c r="Q243" s="9"/>
      <c r="R243" s="9"/>
      <c r="S243" s="9"/>
      <c r="U243" s="42" t="str">
        <f t="shared" si="27"/>
        <v>, L:, E:, S:, TS:</v>
      </c>
      <c r="V243" s="42" t="str">
        <f t="shared" si="28"/>
        <v/>
      </c>
      <c r="W243" s="43">
        <f>IFERROR(VLOOKUP(A243,Esiehdot!A$11:D$15,4,0), 0)</f>
        <v>0</v>
      </c>
      <c r="X243" s="44">
        <f>IF(Esiehdot!D$4&gt;=IFERROR(VLOOKUP(E243,Valintalistat!D$2:H$7,5,0), 99),1,0)</f>
        <v>0</v>
      </c>
      <c r="Y243" s="44">
        <f>IF(Esiehdot!D$5&gt;=IFERROR(VLOOKUP(F243,Valintalistat!E$2:H$5,4,0), 99),1,0)</f>
        <v>0</v>
      </c>
      <c r="Z243" s="44">
        <f>IF(Esiehdot!D$6&gt;=IFERROR(VLOOKUP(G243,Valintalistat!F$2:H$5,3,0),99),1,0)</f>
        <v>0</v>
      </c>
      <c r="AA243" s="44">
        <f>IF(Esiehdot!D$8&gt;=IFERROR(VLOOKUP(H243,Valintalistat!G$2:H$5,2,0),99),1,0)</f>
        <v>0</v>
      </c>
      <c r="AB243" s="43">
        <f t="shared" si="29"/>
        <v>0</v>
      </c>
      <c r="AC243" s="44">
        <f>IF(Esiehdot!E$4=IFERROR(VLOOKUP(E243,Valintalistat!D$2:H$7,5,0),99),1,0)</f>
        <v>0</v>
      </c>
      <c r="AD243" s="44">
        <f>IF(Esiehdot!E$5=IFERROR(VLOOKUP(F243,Valintalistat!E$2:H$5,4,0),99),1,0)</f>
        <v>0</v>
      </c>
      <c r="AE243" s="44">
        <f>IF(Esiehdot!E$6=IFERROR(VLOOKUP(G243,Valintalistat!F$2:H$5,3,0),99),1,0)</f>
        <v>0</v>
      </c>
      <c r="AF243" s="44">
        <f>IF(Esiehdot!E$8=IFERROR(VLOOKUP(H243,Valintalistat!G$2:H$3,2,0),98),1,0)</f>
        <v>0</v>
      </c>
      <c r="AG243" s="43">
        <f t="shared" si="30"/>
        <v>0</v>
      </c>
      <c r="AH243" s="43">
        <f>IFERROR(HLOOKUP(Esiehdot!$B$17,Käyttötapauskriteerit!G$1:P223,243,0),1)</f>
        <v>1</v>
      </c>
      <c r="AI243" s="43">
        <f t="shared" si="31"/>
        <v>0</v>
      </c>
      <c r="AJ243" s="43">
        <f t="shared" si="32"/>
        <v>0</v>
      </c>
      <c r="AK243" s="43">
        <f t="shared" si="33"/>
        <v>0</v>
      </c>
      <c r="AL243" s="43">
        <f t="shared" si="34"/>
        <v>0</v>
      </c>
      <c r="AM243" s="43"/>
      <c r="AN243" s="45" t="str">
        <f t="shared" si="35"/>
        <v/>
      </c>
    </row>
    <row r="244" spans="1:40" ht="15.6">
      <c r="A244" s="5"/>
      <c r="B244" s="5"/>
      <c r="E244" s="17"/>
      <c r="F244" s="17"/>
      <c r="G244" s="17"/>
      <c r="H244" s="17"/>
      <c r="I244" s="17"/>
      <c r="J244" s="17"/>
      <c r="K244" s="17"/>
      <c r="L244" s="32"/>
      <c r="M244" s="61"/>
      <c r="N244" s="23"/>
      <c r="O244" s="23"/>
      <c r="P244" s="9"/>
      <c r="Q244" s="9"/>
      <c r="R244" s="9"/>
      <c r="S244" s="9"/>
      <c r="U244" s="42" t="str">
        <f t="shared" si="27"/>
        <v>, L:, E:, S:, TS:</v>
      </c>
      <c r="V244" s="42" t="str">
        <f t="shared" si="28"/>
        <v/>
      </c>
      <c r="W244" s="43">
        <f>IFERROR(VLOOKUP(A244,Esiehdot!A$11:D$15,4,0), 0)</f>
        <v>0</v>
      </c>
      <c r="X244" s="44">
        <f>IF(Esiehdot!D$4&gt;=IFERROR(VLOOKUP(E244,Valintalistat!D$2:H$7,5,0), 99),1,0)</f>
        <v>0</v>
      </c>
      <c r="Y244" s="44">
        <f>IF(Esiehdot!D$5&gt;=IFERROR(VLOOKUP(F244,Valintalistat!E$2:H$5,4,0), 99),1,0)</f>
        <v>0</v>
      </c>
      <c r="Z244" s="44">
        <f>IF(Esiehdot!D$6&gt;=IFERROR(VLOOKUP(G244,Valintalistat!F$2:H$5,3,0),99),1,0)</f>
        <v>0</v>
      </c>
      <c r="AA244" s="44">
        <f>IF(Esiehdot!D$8&gt;=IFERROR(VLOOKUP(H244,Valintalistat!G$2:H$5,2,0),99),1,0)</f>
        <v>0</v>
      </c>
      <c r="AB244" s="43">
        <f t="shared" si="29"/>
        <v>0</v>
      </c>
      <c r="AC244" s="44">
        <f>IF(Esiehdot!E$4=IFERROR(VLOOKUP(E244,Valintalistat!D$2:H$7,5,0),99),1,0)</f>
        <v>0</v>
      </c>
      <c r="AD244" s="44">
        <f>IF(Esiehdot!E$5=IFERROR(VLOOKUP(F244,Valintalistat!E$2:H$5,4,0),99),1,0)</f>
        <v>0</v>
      </c>
      <c r="AE244" s="44">
        <f>IF(Esiehdot!E$6=IFERROR(VLOOKUP(G244,Valintalistat!F$2:H$5,3,0),99),1,0)</f>
        <v>0</v>
      </c>
      <c r="AF244" s="44">
        <f>IF(Esiehdot!E$8=IFERROR(VLOOKUP(H244,Valintalistat!G$2:H$3,2,0),98),1,0)</f>
        <v>0</v>
      </c>
      <c r="AG244" s="43">
        <f t="shared" si="30"/>
        <v>0</v>
      </c>
      <c r="AH244" s="43">
        <f>IFERROR(HLOOKUP(Esiehdot!$B$17,Käyttötapauskriteerit!G$1:P223,244,0),1)</f>
        <v>1</v>
      </c>
      <c r="AI244" s="43">
        <f t="shared" si="31"/>
        <v>0</v>
      </c>
      <c r="AJ244" s="43">
        <f t="shared" si="32"/>
        <v>0</v>
      </c>
      <c r="AK244" s="43">
        <f t="shared" si="33"/>
        <v>0</v>
      </c>
      <c r="AL244" s="43">
        <f t="shared" si="34"/>
        <v>0</v>
      </c>
      <c r="AM244" s="43"/>
      <c r="AN244" s="45" t="str">
        <f t="shared" si="35"/>
        <v/>
      </c>
    </row>
    <row r="245" spans="1:40" ht="15.6">
      <c r="A245" s="5"/>
      <c r="B245" s="5"/>
      <c r="E245" s="17"/>
      <c r="F245" s="17"/>
      <c r="G245" s="17"/>
      <c r="H245" s="17"/>
      <c r="I245" s="17"/>
      <c r="J245" s="17"/>
      <c r="K245" s="17"/>
      <c r="L245" s="32"/>
      <c r="M245" s="61"/>
      <c r="N245" s="23"/>
      <c r="O245" s="23"/>
      <c r="P245" s="9"/>
      <c r="Q245" s="9"/>
      <c r="R245" s="9"/>
      <c r="S245" s="9"/>
      <c r="U245" s="42" t="str">
        <f t="shared" si="27"/>
        <v>, L:, E:, S:, TS:</v>
      </c>
      <c r="V245" s="42" t="str">
        <f t="shared" si="28"/>
        <v/>
      </c>
      <c r="W245" s="43">
        <f>IFERROR(VLOOKUP(A245,Esiehdot!A$11:D$15,4,0), 0)</f>
        <v>0</v>
      </c>
      <c r="X245" s="44">
        <f>IF(Esiehdot!D$4&gt;=IFERROR(VLOOKUP(E245,Valintalistat!D$2:H$7,5,0), 99),1,0)</f>
        <v>0</v>
      </c>
      <c r="Y245" s="44">
        <f>IF(Esiehdot!D$5&gt;=IFERROR(VLOOKUP(F245,Valintalistat!E$2:H$5,4,0), 99),1,0)</f>
        <v>0</v>
      </c>
      <c r="Z245" s="44">
        <f>IF(Esiehdot!D$6&gt;=IFERROR(VLOOKUP(G245,Valintalistat!F$2:H$5,3,0),99),1,0)</f>
        <v>0</v>
      </c>
      <c r="AA245" s="44">
        <f>IF(Esiehdot!D$8&gt;=IFERROR(VLOOKUP(H245,Valintalistat!G$2:H$5,2,0),99),1,0)</f>
        <v>0</v>
      </c>
      <c r="AB245" s="43">
        <f t="shared" si="29"/>
        <v>0</v>
      </c>
      <c r="AC245" s="44">
        <f>IF(Esiehdot!E$4=IFERROR(VLOOKUP(E245,Valintalistat!D$2:H$7,5,0),99),1,0)</f>
        <v>0</v>
      </c>
      <c r="AD245" s="44">
        <f>IF(Esiehdot!E$5=IFERROR(VLOOKUP(F245,Valintalistat!E$2:H$5,4,0),99),1,0)</f>
        <v>0</v>
      </c>
      <c r="AE245" s="44">
        <f>IF(Esiehdot!E$6=IFERROR(VLOOKUP(G245,Valintalistat!F$2:H$5,3,0),99),1,0)</f>
        <v>0</v>
      </c>
      <c r="AF245" s="44">
        <f>IF(Esiehdot!E$8=IFERROR(VLOOKUP(H245,Valintalistat!G$2:H$3,2,0),98),1,0)</f>
        <v>0</v>
      </c>
      <c r="AG245" s="43">
        <f t="shared" si="30"/>
        <v>0</v>
      </c>
      <c r="AH245" s="43">
        <f>IFERROR(HLOOKUP(Esiehdot!$B$17,Käyttötapauskriteerit!G$1:P223,245,0),1)</f>
        <v>1</v>
      </c>
      <c r="AI245" s="43">
        <f t="shared" si="31"/>
        <v>0</v>
      </c>
      <c r="AJ245" s="43">
        <f t="shared" si="32"/>
        <v>0</v>
      </c>
      <c r="AK245" s="43">
        <f t="shared" si="33"/>
        <v>0</v>
      </c>
      <c r="AL245" s="43">
        <f t="shared" si="34"/>
        <v>0</v>
      </c>
      <c r="AM245" s="43"/>
      <c r="AN245" s="45" t="str">
        <f t="shared" si="35"/>
        <v/>
      </c>
    </row>
    <row r="246" spans="1:40" ht="15.6">
      <c r="A246" s="5"/>
      <c r="B246" s="5"/>
      <c r="E246" s="17"/>
      <c r="F246" s="17"/>
      <c r="G246" s="17"/>
      <c r="H246" s="17"/>
      <c r="I246" s="17"/>
      <c r="J246" s="17"/>
      <c r="K246" s="17"/>
      <c r="L246" s="32"/>
      <c r="M246" s="61"/>
      <c r="N246" s="23"/>
      <c r="O246" s="23"/>
      <c r="P246" s="9"/>
      <c r="Q246" s="9"/>
      <c r="R246" s="9"/>
      <c r="S246" s="9"/>
      <c r="U246" s="42" t="str">
        <f t="shared" si="27"/>
        <v>, L:, E:, S:, TS:</v>
      </c>
      <c r="V246" s="42" t="str">
        <f t="shared" si="28"/>
        <v/>
      </c>
      <c r="W246" s="43">
        <f>IFERROR(VLOOKUP(A246,Esiehdot!A$11:D$15,4,0), 0)</f>
        <v>0</v>
      </c>
      <c r="X246" s="44">
        <f>IF(Esiehdot!D$4&gt;=IFERROR(VLOOKUP(E246,Valintalistat!D$2:H$7,5,0), 99),1,0)</f>
        <v>0</v>
      </c>
      <c r="Y246" s="44">
        <f>IF(Esiehdot!D$5&gt;=IFERROR(VLOOKUP(F246,Valintalistat!E$2:H$5,4,0), 99),1,0)</f>
        <v>0</v>
      </c>
      <c r="Z246" s="44">
        <f>IF(Esiehdot!D$6&gt;=IFERROR(VLOOKUP(G246,Valintalistat!F$2:H$5,3,0),99),1,0)</f>
        <v>0</v>
      </c>
      <c r="AA246" s="44">
        <f>IF(Esiehdot!D$8&gt;=IFERROR(VLOOKUP(H246,Valintalistat!G$2:H$5,2,0),99),1,0)</f>
        <v>0</v>
      </c>
      <c r="AB246" s="43">
        <f t="shared" si="29"/>
        <v>0</v>
      </c>
      <c r="AC246" s="44">
        <f>IF(Esiehdot!E$4=IFERROR(VLOOKUP(E246,Valintalistat!D$2:H$7,5,0),99),1,0)</f>
        <v>0</v>
      </c>
      <c r="AD246" s="44">
        <f>IF(Esiehdot!E$5=IFERROR(VLOOKUP(F246,Valintalistat!E$2:H$5,4,0),99),1,0)</f>
        <v>0</v>
      </c>
      <c r="AE246" s="44">
        <f>IF(Esiehdot!E$6=IFERROR(VLOOKUP(G246,Valintalistat!F$2:H$5,3,0),99),1,0)</f>
        <v>0</v>
      </c>
      <c r="AF246" s="44">
        <f>IF(Esiehdot!E$8=IFERROR(VLOOKUP(H246,Valintalistat!G$2:H$3,2,0),98),1,0)</f>
        <v>0</v>
      </c>
      <c r="AG246" s="43">
        <f t="shared" si="30"/>
        <v>0</v>
      </c>
      <c r="AH246" s="43">
        <f>IFERROR(HLOOKUP(Esiehdot!$B$17,Käyttötapauskriteerit!G$1:P223,246,0),1)</f>
        <v>1</v>
      </c>
      <c r="AI246" s="43">
        <f t="shared" si="31"/>
        <v>0</v>
      </c>
      <c r="AJ246" s="43">
        <f t="shared" si="32"/>
        <v>0</v>
      </c>
      <c r="AK246" s="43">
        <f t="shared" si="33"/>
        <v>0</v>
      </c>
      <c r="AL246" s="43">
        <f t="shared" si="34"/>
        <v>0</v>
      </c>
      <c r="AM246" s="43"/>
      <c r="AN246" s="45" t="str">
        <f t="shared" si="35"/>
        <v/>
      </c>
    </row>
    <row r="247" spans="1:40" ht="15.6">
      <c r="A247" s="5"/>
      <c r="B247" s="5"/>
      <c r="E247" s="17"/>
      <c r="F247" s="17"/>
      <c r="G247" s="17"/>
      <c r="H247" s="17"/>
      <c r="I247" s="17"/>
      <c r="J247" s="17"/>
      <c r="K247" s="17"/>
      <c r="L247" s="32"/>
      <c r="M247" s="61"/>
      <c r="N247" s="23"/>
      <c r="O247" s="23"/>
      <c r="P247" s="9"/>
      <c r="Q247" s="9"/>
      <c r="R247" s="9"/>
      <c r="S247" s="9"/>
      <c r="U247" s="42" t="str">
        <f t="shared" si="27"/>
        <v>, L:, E:, S:, TS:</v>
      </c>
      <c r="V247" s="42" t="str">
        <f t="shared" si="28"/>
        <v/>
      </c>
      <c r="W247" s="43">
        <f>IFERROR(VLOOKUP(A247,Esiehdot!A$11:D$15,4,0), 0)</f>
        <v>0</v>
      </c>
      <c r="X247" s="44">
        <f>IF(Esiehdot!D$4&gt;=IFERROR(VLOOKUP(E247,Valintalistat!D$2:H$7,5,0), 99),1,0)</f>
        <v>0</v>
      </c>
      <c r="Y247" s="44">
        <f>IF(Esiehdot!D$5&gt;=IFERROR(VLOOKUP(F247,Valintalistat!E$2:H$5,4,0), 99),1,0)</f>
        <v>0</v>
      </c>
      <c r="Z247" s="44">
        <f>IF(Esiehdot!D$6&gt;=IFERROR(VLOOKUP(G247,Valintalistat!F$2:H$5,3,0),99),1,0)</f>
        <v>0</v>
      </c>
      <c r="AA247" s="44">
        <f>IF(Esiehdot!D$8&gt;=IFERROR(VLOOKUP(H247,Valintalistat!G$2:H$5,2,0),99),1,0)</f>
        <v>0</v>
      </c>
      <c r="AB247" s="43">
        <f t="shared" si="29"/>
        <v>0</v>
      </c>
      <c r="AC247" s="44">
        <f>IF(Esiehdot!E$4=IFERROR(VLOOKUP(E247,Valintalistat!D$2:H$7,5,0),99),1,0)</f>
        <v>0</v>
      </c>
      <c r="AD247" s="44">
        <f>IF(Esiehdot!E$5=IFERROR(VLOOKUP(F247,Valintalistat!E$2:H$5,4,0),99),1,0)</f>
        <v>0</v>
      </c>
      <c r="AE247" s="44">
        <f>IF(Esiehdot!E$6=IFERROR(VLOOKUP(G247,Valintalistat!F$2:H$5,3,0),99),1,0)</f>
        <v>0</v>
      </c>
      <c r="AF247" s="44">
        <f>IF(Esiehdot!E$8=IFERROR(VLOOKUP(H247,Valintalistat!G$2:H$3,2,0),98),1,0)</f>
        <v>0</v>
      </c>
      <c r="AG247" s="43">
        <f t="shared" si="30"/>
        <v>0</v>
      </c>
      <c r="AH247" s="43">
        <f>IFERROR(HLOOKUP(Esiehdot!$B$17,Käyttötapauskriteerit!G$1:P223,247,0),1)</f>
        <v>1</v>
      </c>
      <c r="AI247" s="43">
        <f t="shared" si="31"/>
        <v>0</v>
      </c>
      <c r="AJ247" s="43">
        <f t="shared" si="32"/>
        <v>0</v>
      </c>
      <c r="AK247" s="43">
        <f t="shared" si="33"/>
        <v>0</v>
      </c>
      <c r="AL247" s="43">
        <f t="shared" si="34"/>
        <v>0</v>
      </c>
      <c r="AM247" s="43"/>
      <c r="AN247" s="45" t="str">
        <f t="shared" si="35"/>
        <v/>
      </c>
    </row>
    <row r="248" spans="1:40" ht="15.6">
      <c r="A248" s="5"/>
      <c r="B248" s="5"/>
      <c r="E248" s="17"/>
      <c r="F248" s="17"/>
      <c r="G248" s="17"/>
      <c r="H248" s="17"/>
      <c r="I248" s="17"/>
      <c r="J248" s="17"/>
      <c r="K248" s="17"/>
      <c r="L248" s="32"/>
      <c r="M248" s="61"/>
      <c r="N248" s="23"/>
      <c r="O248" s="23"/>
      <c r="P248" s="9"/>
      <c r="Q248" s="9"/>
      <c r="R248" s="9"/>
      <c r="S248" s="9"/>
      <c r="U248" s="42" t="str">
        <f t="shared" si="27"/>
        <v>, L:, E:, S:, TS:</v>
      </c>
      <c r="V248" s="42" t="str">
        <f t="shared" si="28"/>
        <v/>
      </c>
      <c r="W248" s="43">
        <f>IFERROR(VLOOKUP(A248,Esiehdot!A$11:D$15,4,0), 0)</f>
        <v>0</v>
      </c>
      <c r="X248" s="44">
        <f>IF(Esiehdot!D$4&gt;=IFERROR(VLOOKUP(E248,Valintalistat!D$2:H$7,5,0), 99),1,0)</f>
        <v>0</v>
      </c>
      <c r="Y248" s="44">
        <f>IF(Esiehdot!D$5&gt;=IFERROR(VLOOKUP(F248,Valintalistat!E$2:H$5,4,0), 99),1,0)</f>
        <v>0</v>
      </c>
      <c r="Z248" s="44">
        <f>IF(Esiehdot!D$6&gt;=IFERROR(VLOOKUP(G248,Valintalistat!F$2:H$5,3,0),99),1,0)</f>
        <v>0</v>
      </c>
      <c r="AA248" s="44">
        <f>IF(Esiehdot!D$8&gt;=IFERROR(VLOOKUP(H248,Valintalistat!G$2:H$5,2,0),99),1,0)</f>
        <v>0</v>
      </c>
      <c r="AB248" s="43">
        <f t="shared" si="29"/>
        <v>0</v>
      </c>
      <c r="AC248" s="44">
        <f>IF(Esiehdot!E$4=IFERROR(VLOOKUP(E248,Valintalistat!D$2:H$7,5,0),99),1,0)</f>
        <v>0</v>
      </c>
      <c r="AD248" s="44">
        <f>IF(Esiehdot!E$5=IFERROR(VLOOKUP(F248,Valintalistat!E$2:H$5,4,0),99),1,0)</f>
        <v>0</v>
      </c>
      <c r="AE248" s="44">
        <f>IF(Esiehdot!E$6=IFERROR(VLOOKUP(G248,Valintalistat!F$2:H$5,3,0),99),1,0)</f>
        <v>0</v>
      </c>
      <c r="AF248" s="44">
        <f>IF(Esiehdot!E$8=IFERROR(VLOOKUP(H248,Valintalistat!G$2:H$3,2,0),98),1,0)</f>
        <v>0</v>
      </c>
      <c r="AG248" s="43">
        <f t="shared" si="30"/>
        <v>0</v>
      </c>
      <c r="AH248" s="43">
        <f>IFERROR(HLOOKUP(Esiehdot!$B$17,Käyttötapauskriteerit!G$1:P223,248,0),1)</f>
        <v>1</v>
      </c>
      <c r="AI248" s="43">
        <f t="shared" si="31"/>
        <v>0</v>
      </c>
      <c r="AJ248" s="43">
        <f t="shared" si="32"/>
        <v>0</v>
      </c>
      <c r="AK248" s="43">
        <f t="shared" si="33"/>
        <v>0</v>
      </c>
      <c r="AL248" s="43">
        <f t="shared" si="34"/>
        <v>0</v>
      </c>
      <c r="AM248" s="43"/>
      <c r="AN248" s="45" t="str">
        <f t="shared" si="35"/>
        <v/>
      </c>
    </row>
    <row r="249" spans="1:40" ht="15.6">
      <c r="A249" s="5"/>
      <c r="B249" s="5"/>
      <c r="E249" s="17"/>
      <c r="F249" s="17"/>
      <c r="G249" s="17"/>
      <c r="H249" s="17"/>
      <c r="I249" s="17"/>
      <c r="J249" s="17"/>
      <c r="K249" s="17"/>
      <c r="L249" s="32"/>
      <c r="M249" s="61"/>
      <c r="N249" s="23"/>
      <c r="O249" s="23"/>
      <c r="P249" s="9"/>
      <c r="Q249" s="9"/>
      <c r="R249" s="9"/>
      <c r="S249" s="9"/>
      <c r="U249" s="42" t="str">
        <f t="shared" si="27"/>
        <v>, L:, E:, S:, TS:</v>
      </c>
      <c r="V249" s="42" t="str">
        <f t="shared" si="28"/>
        <v/>
      </c>
      <c r="W249" s="43">
        <f>IFERROR(VLOOKUP(A249,Esiehdot!A$11:D$15,4,0), 0)</f>
        <v>0</v>
      </c>
      <c r="X249" s="44">
        <f>IF(Esiehdot!D$4&gt;=IFERROR(VLOOKUP(E249,Valintalistat!D$2:H$7,5,0), 99),1,0)</f>
        <v>0</v>
      </c>
      <c r="Y249" s="44">
        <f>IF(Esiehdot!D$5&gt;=IFERROR(VLOOKUP(F249,Valintalistat!E$2:H$5,4,0), 99),1,0)</f>
        <v>0</v>
      </c>
      <c r="Z249" s="44">
        <f>IF(Esiehdot!D$6&gt;=IFERROR(VLOOKUP(G249,Valintalistat!F$2:H$5,3,0),99),1,0)</f>
        <v>0</v>
      </c>
      <c r="AA249" s="44">
        <f>IF(Esiehdot!D$8&gt;=IFERROR(VLOOKUP(H249,Valintalistat!G$2:H$5,2,0),99),1,0)</f>
        <v>0</v>
      </c>
      <c r="AB249" s="43">
        <f t="shared" si="29"/>
        <v>0</v>
      </c>
      <c r="AC249" s="44">
        <f>IF(Esiehdot!E$4=IFERROR(VLOOKUP(E249,Valintalistat!D$2:H$7,5,0),99),1,0)</f>
        <v>0</v>
      </c>
      <c r="AD249" s="44">
        <f>IF(Esiehdot!E$5=IFERROR(VLOOKUP(F249,Valintalistat!E$2:H$5,4,0),99),1,0)</f>
        <v>0</v>
      </c>
      <c r="AE249" s="44">
        <f>IF(Esiehdot!E$6=IFERROR(VLOOKUP(G249,Valintalistat!F$2:H$5,3,0),99),1,0)</f>
        <v>0</v>
      </c>
      <c r="AF249" s="44">
        <f>IF(Esiehdot!E$8=IFERROR(VLOOKUP(H249,Valintalistat!G$2:H$3,2,0),98),1,0)</f>
        <v>0</v>
      </c>
      <c r="AG249" s="43">
        <f t="shared" si="30"/>
        <v>0</v>
      </c>
      <c r="AH249" s="43">
        <f>IFERROR(HLOOKUP(Esiehdot!$B$17,Käyttötapauskriteerit!G$1:P223,249,0),1)</f>
        <v>1</v>
      </c>
      <c r="AI249" s="43">
        <f t="shared" si="31"/>
        <v>0</v>
      </c>
      <c r="AJ249" s="43">
        <f t="shared" si="32"/>
        <v>0</v>
      </c>
      <c r="AK249" s="43">
        <f t="shared" si="33"/>
        <v>0</v>
      </c>
      <c r="AL249" s="43">
        <f t="shared" si="34"/>
        <v>0</v>
      </c>
      <c r="AM249" s="43"/>
      <c r="AN249" s="45" t="str">
        <f t="shared" si="35"/>
        <v/>
      </c>
    </row>
    <row r="250" spans="1:40" ht="15.6">
      <c r="A250" s="5"/>
      <c r="B250" s="5"/>
      <c r="E250" s="17"/>
      <c r="F250" s="17"/>
      <c r="G250" s="17"/>
      <c r="H250" s="17"/>
      <c r="I250" s="17"/>
      <c r="J250" s="17"/>
      <c r="K250" s="17"/>
      <c r="L250" s="32"/>
      <c r="M250" s="61"/>
      <c r="N250" s="23"/>
      <c r="O250" s="23"/>
      <c r="P250" s="9"/>
      <c r="Q250" s="9"/>
      <c r="R250" s="9"/>
      <c r="S250" s="9"/>
      <c r="U250" s="42" t="str">
        <f t="shared" si="27"/>
        <v>, L:, E:, S:, TS:</v>
      </c>
      <c r="V250" s="42" t="str">
        <f t="shared" si="28"/>
        <v/>
      </c>
      <c r="W250" s="43">
        <f>IFERROR(VLOOKUP(A250,Esiehdot!A$11:D$15,4,0), 0)</f>
        <v>0</v>
      </c>
      <c r="X250" s="44">
        <f>IF(Esiehdot!D$4&gt;=IFERROR(VLOOKUP(E250,Valintalistat!D$2:H$7,5,0), 99),1,0)</f>
        <v>0</v>
      </c>
      <c r="Y250" s="44">
        <f>IF(Esiehdot!D$5&gt;=IFERROR(VLOOKUP(F250,Valintalistat!E$2:H$5,4,0), 99),1,0)</f>
        <v>0</v>
      </c>
      <c r="Z250" s="44">
        <f>IF(Esiehdot!D$6&gt;=IFERROR(VLOOKUP(G250,Valintalistat!F$2:H$5,3,0),99),1,0)</f>
        <v>0</v>
      </c>
      <c r="AA250" s="44">
        <f>IF(Esiehdot!D$8&gt;=IFERROR(VLOOKUP(H250,Valintalistat!G$2:H$5,2,0),99),1,0)</f>
        <v>0</v>
      </c>
      <c r="AB250" s="43">
        <f t="shared" si="29"/>
        <v>0</v>
      </c>
      <c r="AC250" s="44">
        <f>IF(Esiehdot!E$4=IFERROR(VLOOKUP(E250,Valintalistat!D$2:H$7,5,0),99),1,0)</f>
        <v>0</v>
      </c>
      <c r="AD250" s="44">
        <f>IF(Esiehdot!E$5=IFERROR(VLOOKUP(F250,Valintalistat!E$2:H$5,4,0),99),1,0)</f>
        <v>0</v>
      </c>
      <c r="AE250" s="44">
        <f>IF(Esiehdot!E$6=IFERROR(VLOOKUP(G250,Valintalistat!F$2:H$5,3,0),99),1,0)</f>
        <v>0</v>
      </c>
      <c r="AF250" s="44">
        <f>IF(Esiehdot!E$8=IFERROR(VLOOKUP(H250,Valintalistat!G$2:H$3,2,0),98),1,0)</f>
        <v>0</v>
      </c>
      <c r="AG250" s="43">
        <f t="shared" si="30"/>
        <v>0</v>
      </c>
      <c r="AH250" s="43">
        <f>IFERROR(HLOOKUP(Esiehdot!$B$17,Käyttötapauskriteerit!G$1:P223,250,0),1)</f>
        <v>1</v>
      </c>
      <c r="AI250" s="43">
        <f t="shared" si="31"/>
        <v>0</v>
      </c>
      <c r="AJ250" s="43">
        <f t="shared" si="32"/>
        <v>0</v>
      </c>
      <c r="AK250" s="43">
        <f t="shared" si="33"/>
        <v>0</v>
      </c>
      <c r="AL250" s="43">
        <f t="shared" si="34"/>
        <v>0</v>
      </c>
      <c r="AM250" s="43"/>
      <c r="AN250" s="45" t="str">
        <f t="shared" si="35"/>
        <v/>
      </c>
    </row>
    <row r="251" spans="1:40" ht="15.6">
      <c r="A251" s="5"/>
      <c r="B251" s="5"/>
      <c r="E251" s="17"/>
      <c r="F251" s="17"/>
      <c r="G251" s="17"/>
      <c r="H251" s="17"/>
      <c r="I251" s="17"/>
      <c r="J251" s="17"/>
      <c r="K251" s="17"/>
      <c r="L251" s="32"/>
      <c r="M251" s="61"/>
      <c r="N251" s="23"/>
      <c r="O251" s="23"/>
      <c r="P251" s="9"/>
      <c r="Q251" s="9"/>
      <c r="R251" s="9"/>
      <c r="S251" s="9"/>
      <c r="U251" s="42" t="str">
        <f t="shared" si="27"/>
        <v>, L:, E:, S:, TS:</v>
      </c>
      <c r="V251" s="42" t="str">
        <f t="shared" si="28"/>
        <v/>
      </c>
      <c r="W251" s="43">
        <f>IFERROR(VLOOKUP(A251,Esiehdot!A$11:D$15,4,0), 0)</f>
        <v>0</v>
      </c>
      <c r="X251" s="44">
        <f>IF(Esiehdot!D$4&gt;=IFERROR(VLOOKUP(E251,Valintalistat!D$2:H$7,5,0), 99),1,0)</f>
        <v>0</v>
      </c>
      <c r="Y251" s="44">
        <f>IF(Esiehdot!D$5&gt;=IFERROR(VLOOKUP(F251,Valintalistat!E$2:H$5,4,0), 99),1,0)</f>
        <v>0</v>
      </c>
      <c r="Z251" s="44">
        <f>IF(Esiehdot!D$6&gt;=IFERROR(VLOOKUP(G251,Valintalistat!F$2:H$5,3,0),99),1,0)</f>
        <v>0</v>
      </c>
      <c r="AA251" s="44">
        <f>IF(Esiehdot!D$8&gt;=IFERROR(VLOOKUP(H251,Valintalistat!G$2:H$5,2,0),99),1,0)</f>
        <v>0</v>
      </c>
      <c r="AB251" s="43">
        <f t="shared" si="29"/>
        <v>0</v>
      </c>
      <c r="AC251" s="44">
        <f>IF(Esiehdot!E$4=IFERROR(VLOOKUP(E251,Valintalistat!D$2:H$7,5,0),99),1,0)</f>
        <v>0</v>
      </c>
      <c r="AD251" s="44">
        <f>IF(Esiehdot!E$5=IFERROR(VLOOKUP(F251,Valintalistat!E$2:H$5,4,0),99),1,0)</f>
        <v>0</v>
      </c>
      <c r="AE251" s="44">
        <f>IF(Esiehdot!E$6=IFERROR(VLOOKUP(G251,Valintalistat!F$2:H$5,3,0),99),1,0)</f>
        <v>0</v>
      </c>
      <c r="AF251" s="44">
        <f>IF(Esiehdot!E$8=IFERROR(VLOOKUP(H251,Valintalistat!G$2:H$3,2,0),98),1,0)</f>
        <v>0</v>
      </c>
      <c r="AG251" s="43">
        <f t="shared" si="30"/>
        <v>0</v>
      </c>
      <c r="AH251" s="43">
        <f>IFERROR(HLOOKUP(Esiehdot!$B$17,Käyttötapauskriteerit!G$1:P223,251,0),1)</f>
        <v>1</v>
      </c>
      <c r="AI251" s="43">
        <f t="shared" si="31"/>
        <v>0</v>
      </c>
      <c r="AJ251" s="43">
        <f t="shared" si="32"/>
        <v>0</v>
      </c>
      <c r="AK251" s="43">
        <f t="shared" si="33"/>
        <v>0</v>
      </c>
      <c r="AL251" s="43">
        <f t="shared" si="34"/>
        <v>0</v>
      </c>
      <c r="AM251" s="43"/>
      <c r="AN251" s="45" t="str">
        <f t="shared" si="35"/>
        <v/>
      </c>
    </row>
    <row r="252" spans="1:40" ht="15.6">
      <c r="A252" s="5"/>
      <c r="B252" s="5"/>
      <c r="E252" s="17"/>
      <c r="F252" s="17"/>
      <c r="G252" s="17"/>
      <c r="H252" s="17"/>
      <c r="I252" s="17"/>
      <c r="J252" s="17"/>
      <c r="K252" s="17"/>
      <c r="L252" s="32"/>
      <c r="M252" s="61"/>
      <c r="N252" s="23"/>
      <c r="O252" s="23"/>
      <c r="P252" s="9"/>
      <c r="Q252" s="9"/>
      <c r="R252" s="9"/>
      <c r="S252" s="9"/>
      <c r="U252" s="42" t="str">
        <f t="shared" si="27"/>
        <v>, L:, E:, S:, TS:</v>
      </c>
      <c r="V252" s="42" t="str">
        <f t="shared" si="28"/>
        <v/>
      </c>
      <c r="W252" s="43">
        <f>IFERROR(VLOOKUP(A252,Esiehdot!A$11:D$15,4,0), 0)</f>
        <v>0</v>
      </c>
      <c r="X252" s="44">
        <f>IF(Esiehdot!D$4&gt;=IFERROR(VLOOKUP(E252,Valintalistat!D$2:H$7,5,0), 99),1,0)</f>
        <v>0</v>
      </c>
      <c r="Y252" s="44">
        <f>IF(Esiehdot!D$5&gt;=IFERROR(VLOOKUP(F252,Valintalistat!E$2:H$5,4,0), 99),1,0)</f>
        <v>0</v>
      </c>
      <c r="Z252" s="44">
        <f>IF(Esiehdot!D$6&gt;=IFERROR(VLOOKUP(G252,Valintalistat!F$2:H$5,3,0),99),1,0)</f>
        <v>0</v>
      </c>
      <c r="AA252" s="44">
        <f>IF(Esiehdot!D$8&gt;=IFERROR(VLOOKUP(H252,Valintalistat!G$2:H$5,2,0),99),1,0)</f>
        <v>0</v>
      </c>
      <c r="AB252" s="43">
        <f t="shared" si="29"/>
        <v>0</v>
      </c>
      <c r="AC252" s="44">
        <f>IF(Esiehdot!E$4=IFERROR(VLOOKUP(E252,Valintalistat!D$2:H$7,5,0),99),1,0)</f>
        <v>0</v>
      </c>
      <c r="AD252" s="44">
        <f>IF(Esiehdot!E$5=IFERROR(VLOOKUP(F252,Valintalistat!E$2:H$5,4,0),99),1,0)</f>
        <v>0</v>
      </c>
      <c r="AE252" s="44">
        <f>IF(Esiehdot!E$6=IFERROR(VLOOKUP(G252,Valintalistat!F$2:H$5,3,0),99),1,0)</f>
        <v>0</v>
      </c>
      <c r="AF252" s="44">
        <f>IF(Esiehdot!E$8=IFERROR(VLOOKUP(H252,Valintalistat!G$2:H$3,2,0),98),1,0)</f>
        <v>0</v>
      </c>
      <c r="AG252" s="43">
        <f t="shared" si="30"/>
        <v>0</v>
      </c>
      <c r="AH252" s="43">
        <f>IFERROR(HLOOKUP(Esiehdot!$B$17,Käyttötapauskriteerit!G$1:P223,252,0),1)</f>
        <v>1</v>
      </c>
      <c r="AI252" s="43">
        <f t="shared" si="31"/>
        <v>0</v>
      </c>
      <c r="AJ252" s="43">
        <f t="shared" si="32"/>
        <v>0</v>
      </c>
      <c r="AK252" s="43">
        <f t="shared" si="33"/>
        <v>0</v>
      </c>
      <c r="AL252" s="43">
        <f t="shared" si="34"/>
        <v>0</v>
      </c>
      <c r="AM252" s="43"/>
      <c r="AN252" s="45" t="str">
        <f t="shared" si="35"/>
        <v/>
      </c>
    </row>
    <row r="253" spans="1:40" ht="15.6">
      <c r="A253" s="5"/>
      <c r="B253" s="5"/>
      <c r="E253" s="17"/>
      <c r="F253" s="17"/>
      <c r="G253" s="17"/>
      <c r="H253" s="17"/>
      <c r="I253" s="17"/>
      <c r="J253" s="17"/>
      <c r="K253" s="17"/>
      <c r="L253" s="32"/>
      <c r="M253" s="61"/>
      <c r="N253" s="23"/>
      <c r="O253" s="23"/>
      <c r="P253" s="9"/>
      <c r="Q253" s="9"/>
      <c r="R253" s="9"/>
      <c r="S253" s="9"/>
      <c r="U253" s="42" t="str">
        <f t="shared" si="27"/>
        <v>, L:, E:, S:, TS:</v>
      </c>
      <c r="V253" s="42" t="str">
        <f t="shared" si="28"/>
        <v/>
      </c>
      <c r="W253" s="43">
        <f>IFERROR(VLOOKUP(A253,Esiehdot!A$11:D$15,4,0), 0)</f>
        <v>0</v>
      </c>
      <c r="X253" s="44">
        <f>IF(Esiehdot!D$4&gt;=IFERROR(VLOOKUP(E253,Valintalistat!D$2:H$7,5,0), 99),1,0)</f>
        <v>0</v>
      </c>
      <c r="Y253" s="44">
        <f>IF(Esiehdot!D$5&gt;=IFERROR(VLOOKUP(F253,Valintalistat!E$2:H$5,4,0), 99),1,0)</f>
        <v>0</v>
      </c>
      <c r="Z253" s="44">
        <f>IF(Esiehdot!D$6&gt;=IFERROR(VLOOKUP(G253,Valintalistat!F$2:H$5,3,0),99),1,0)</f>
        <v>0</v>
      </c>
      <c r="AA253" s="44">
        <f>IF(Esiehdot!D$8&gt;=IFERROR(VLOOKUP(H253,Valintalistat!G$2:H$5,2,0),99),1,0)</f>
        <v>0</v>
      </c>
      <c r="AB253" s="43">
        <f t="shared" si="29"/>
        <v>0</v>
      </c>
      <c r="AC253" s="44">
        <f>IF(Esiehdot!E$4=IFERROR(VLOOKUP(E253,Valintalistat!D$2:H$7,5,0),99),1,0)</f>
        <v>0</v>
      </c>
      <c r="AD253" s="44">
        <f>IF(Esiehdot!E$5=IFERROR(VLOOKUP(F253,Valintalistat!E$2:H$5,4,0),99),1,0)</f>
        <v>0</v>
      </c>
      <c r="AE253" s="44">
        <f>IF(Esiehdot!E$6=IFERROR(VLOOKUP(G253,Valintalistat!F$2:H$5,3,0),99),1,0)</f>
        <v>0</v>
      </c>
      <c r="AF253" s="44">
        <f>IF(Esiehdot!E$8=IFERROR(VLOOKUP(H253,Valintalistat!G$2:H$3,2,0),98),1,0)</f>
        <v>0</v>
      </c>
      <c r="AG253" s="43">
        <f t="shared" si="30"/>
        <v>0</v>
      </c>
      <c r="AH253" s="43">
        <f>IFERROR(HLOOKUP(Esiehdot!$B$17,Käyttötapauskriteerit!G$1:P223,253,0),1)</f>
        <v>1</v>
      </c>
      <c r="AI253" s="43">
        <f t="shared" si="31"/>
        <v>0</v>
      </c>
      <c r="AJ253" s="43">
        <f t="shared" si="32"/>
        <v>0</v>
      </c>
      <c r="AK253" s="43">
        <f t="shared" si="33"/>
        <v>0</v>
      </c>
      <c r="AL253" s="43">
        <f t="shared" si="34"/>
        <v>0</v>
      </c>
      <c r="AM253" s="43"/>
      <c r="AN253" s="45" t="str">
        <f t="shared" si="35"/>
        <v/>
      </c>
    </row>
    <row r="254" spans="1:40" ht="15.6">
      <c r="A254" s="5"/>
      <c r="B254" s="5"/>
      <c r="E254" s="17"/>
      <c r="F254" s="17"/>
      <c r="G254" s="17"/>
      <c r="H254" s="17"/>
      <c r="I254" s="17"/>
      <c r="J254" s="17"/>
      <c r="K254" s="17"/>
      <c r="L254" s="32"/>
      <c r="M254" s="61"/>
      <c r="N254" s="23"/>
      <c r="O254" s="23"/>
      <c r="P254" s="9"/>
      <c r="Q254" s="9"/>
      <c r="R254" s="9"/>
      <c r="S254" s="9"/>
      <c r="U254" s="42" t="str">
        <f t="shared" si="27"/>
        <v>, L:, E:, S:, TS:</v>
      </c>
      <c r="V254" s="42" t="str">
        <f t="shared" si="28"/>
        <v/>
      </c>
      <c r="W254" s="43">
        <f>IFERROR(VLOOKUP(A254,Esiehdot!A$11:D$15,4,0), 0)</f>
        <v>0</v>
      </c>
      <c r="X254" s="44">
        <f>IF(Esiehdot!D$4&gt;=IFERROR(VLOOKUP(E254,Valintalistat!D$2:H$7,5,0), 99),1,0)</f>
        <v>0</v>
      </c>
      <c r="Y254" s="44">
        <f>IF(Esiehdot!D$5&gt;=IFERROR(VLOOKUP(F254,Valintalistat!E$2:H$5,4,0), 99),1,0)</f>
        <v>0</v>
      </c>
      <c r="Z254" s="44">
        <f>IF(Esiehdot!D$6&gt;=IFERROR(VLOOKUP(G254,Valintalistat!F$2:H$5,3,0),99),1,0)</f>
        <v>0</v>
      </c>
      <c r="AA254" s="44">
        <f>IF(Esiehdot!D$8&gt;=IFERROR(VLOOKUP(H254,Valintalistat!G$2:H$5,2,0),99),1,0)</f>
        <v>0</v>
      </c>
      <c r="AB254" s="43">
        <f t="shared" si="29"/>
        <v>0</v>
      </c>
      <c r="AC254" s="44">
        <f>IF(Esiehdot!E$4=IFERROR(VLOOKUP(E254,Valintalistat!D$2:H$7,5,0),99),1,0)</f>
        <v>0</v>
      </c>
      <c r="AD254" s="44">
        <f>IF(Esiehdot!E$5=IFERROR(VLOOKUP(F254,Valintalistat!E$2:H$5,4,0),99),1,0)</f>
        <v>0</v>
      </c>
      <c r="AE254" s="44">
        <f>IF(Esiehdot!E$6=IFERROR(VLOOKUP(G254,Valintalistat!F$2:H$5,3,0),99),1,0)</f>
        <v>0</v>
      </c>
      <c r="AF254" s="44">
        <f>IF(Esiehdot!E$8=IFERROR(VLOOKUP(H254,Valintalistat!G$2:H$3,2,0),98),1,0)</f>
        <v>0</v>
      </c>
      <c r="AG254" s="43">
        <f t="shared" si="30"/>
        <v>0</v>
      </c>
      <c r="AH254" s="43">
        <f>IFERROR(HLOOKUP(Esiehdot!$B$17,Käyttötapauskriteerit!G$1:P223,254,0),1)</f>
        <v>1</v>
      </c>
      <c r="AI254" s="43">
        <f t="shared" si="31"/>
        <v>0</v>
      </c>
      <c r="AJ254" s="43">
        <f t="shared" si="32"/>
        <v>0</v>
      </c>
      <c r="AK254" s="43">
        <f t="shared" si="33"/>
        <v>0</v>
      </c>
      <c r="AL254" s="43">
        <f t="shared" si="34"/>
        <v>0</v>
      </c>
      <c r="AM254" s="43"/>
      <c r="AN254" s="45" t="str">
        <f t="shared" si="35"/>
        <v/>
      </c>
    </row>
    <row r="255" spans="1:40" ht="15.6">
      <c r="A255" s="5"/>
      <c r="B255" s="5"/>
      <c r="E255" s="17"/>
      <c r="F255" s="17"/>
      <c r="G255" s="17"/>
      <c r="H255" s="17"/>
      <c r="I255" s="17"/>
      <c r="J255" s="17"/>
      <c r="K255" s="17"/>
      <c r="L255" s="32"/>
      <c r="M255" s="61"/>
      <c r="N255" s="23"/>
      <c r="O255" s="23"/>
      <c r="P255" s="9"/>
      <c r="Q255" s="9"/>
      <c r="R255" s="9"/>
      <c r="S255" s="9"/>
      <c r="U255" s="42" t="str">
        <f t="shared" si="27"/>
        <v>, L:, E:, S:, TS:</v>
      </c>
      <c r="V255" s="42" t="str">
        <f t="shared" si="28"/>
        <v/>
      </c>
      <c r="W255" s="43">
        <f>IFERROR(VLOOKUP(A255,Esiehdot!A$11:D$15,4,0), 0)</f>
        <v>0</v>
      </c>
      <c r="X255" s="44">
        <f>IF(Esiehdot!D$4&gt;=IFERROR(VLOOKUP(E255,Valintalistat!D$2:H$7,5,0), 99),1,0)</f>
        <v>0</v>
      </c>
      <c r="Y255" s="44">
        <f>IF(Esiehdot!D$5&gt;=IFERROR(VLOOKUP(F255,Valintalistat!E$2:H$5,4,0), 99),1,0)</f>
        <v>0</v>
      </c>
      <c r="Z255" s="44">
        <f>IF(Esiehdot!D$6&gt;=IFERROR(VLOOKUP(G255,Valintalistat!F$2:H$5,3,0),99),1,0)</f>
        <v>0</v>
      </c>
      <c r="AA255" s="44">
        <f>IF(Esiehdot!D$8&gt;=IFERROR(VLOOKUP(H255,Valintalistat!G$2:H$5,2,0),99),1,0)</f>
        <v>0</v>
      </c>
      <c r="AB255" s="43">
        <f t="shared" si="29"/>
        <v>0</v>
      </c>
      <c r="AC255" s="44">
        <f>IF(Esiehdot!E$4=IFERROR(VLOOKUP(E255,Valintalistat!D$2:H$7,5,0),99),1,0)</f>
        <v>0</v>
      </c>
      <c r="AD255" s="44">
        <f>IF(Esiehdot!E$5=IFERROR(VLOOKUP(F255,Valintalistat!E$2:H$5,4,0),99),1,0)</f>
        <v>0</v>
      </c>
      <c r="AE255" s="44">
        <f>IF(Esiehdot!E$6=IFERROR(VLOOKUP(G255,Valintalistat!F$2:H$5,3,0),99),1,0)</f>
        <v>0</v>
      </c>
      <c r="AF255" s="44">
        <f>IF(Esiehdot!E$8=IFERROR(VLOOKUP(H255,Valintalistat!G$2:H$3,2,0),98),1,0)</f>
        <v>0</v>
      </c>
      <c r="AG255" s="43">
        <f t="shared" si="30"/>
        <v>0</v>
      </c>
      <c r="AH255" s="43">
        <f>IFERROR(HLOOKUP(Esiehdot!$B$17,Käyttötapauskriteerit!G$1:P223,255,0),1)</f>
        <v>1</v>
      </c>
      <c r="AI255" s="43">
        <f t="shared" si="31"/>
        <v>0</v>
      </c>
      <c r="AJ255" s="43">
        <f t="shared" si="32"/>
        <v>0</v>
      </c>
      <c r="AK255" s="43">
        <f t="shared" si="33"/>
        <v>0</v>
      </c>
      <c r="AL255" s="43">
        <f t="shared" si="34"/>
        <v>0</v>
      </c>
      <c r="AM255" s="43"/>
      <c r="AN255" s="45" t="str">
        <f t="shared" si="35"/>
        <v/>
      </c>
    </row>
    <row r="256" spans="1:40" ht="15.6">
      <c r="A256" s="5"/>
      <c r="B256" s="5"/>
      <c r="E256" s="17"/>
      <c r="F256" s="17"/>
      <c r="G256" s="17"/>
      <c r="H256" s="17"/>
      <c r="I256" s="17"/>
      <c r="J256" s="17"/>
      <c r="K256" s="17"/>
      <c r="L256" s="32"/>
      <c r="M256" s="61"/>
      <c r="N256" s="23"/>
      <c r="O256" s="23"/>
      <c r="P256" s="9"/>
      <c r="Q256" s="9"/>
      <c r="R256" s="9"/>
      <c r="S256" s="9"/>
      <c r="U256" s="42" t="str">
        <f t="shared" si="27"/>
        <v>, L:, E:, S:, TS:</v>
      </c>
      <c r="V256" s="42" t="str">
        <f t="shared" si="28"/>
        <v/>
      </c>
      <c r="W256" s="43">
        <f>IFERROR(VLOOKUP(A256,Esiehdot!A$11:D$15,4,0), 0)</f>
        <v>0</v>
      </c>
      <c r="X256" s="44">
        <f>IF(Esiehdot!D$4&gt;=IFERROR(VLOOKUP(E256,Valintalistat!D$2:H$7,5,0), 99),1,0)</f>
        <v>0</v>
      </c>
      <c r="Y256" s="44">
        <f>IF(Esiehdot!D$5&gt;=IFERROR(VLOOKUP(F256,Valintalistat!E$2:H$5,4,0), 99),1,0)</f>
        <v>0</v>
      </c>
      <c r="Z256" s="44">
        <f>IF(Esiehdot!D$6&gt;=IFERROR(VLOOKUP(G256,Valintalistat!F$2:H$5,3,0),99),1,0)</f>
        <v>0</v>
      </c>
      <c r="AA256" s="44">
        <f>IF(Esiehdot!D$8&gt;=IFERROR(VLOOKUP(H256,Valintalistat!G$2:H$5,2,0),99),1,0)</f>
        <v>0</v>
      </c>
      <c r="AB256" s="43">
        <f t="shared" si="29"/>
        <v>0</v>
      </c>
      <c r="AC256" s="44">
        <f>IF(Esiehdot!E$4=IFERROR(VLOOKUP(E256,Valintalistat!D$2:H$7,5,0),99),1,0)</f>
        <v>0</v>
      </c>
      <c r="AD256" s="44">
        <f>IF(Esiehdot!E$5=IFERROR(VLOOKUP(F256,Valintalistat!E$2:H$5,4,0),99),1,0)</f>
        <v>0</v>
      </c>
      <c r="AE256" s="44">
        <f>IF(Esiehdot!E$6=IFERROR(VLOOKUP(G256,Valintalistat!F$2:H$5,3,0),99),1,0)</f>
        <v>0</v>
      </c>
      <c r="AF256" s="44">
        <f>IF(Esiehdot!E$8=IFERROR(VLOOKUP(H256,Valintalistat!G$2:H$3,2,0),98),1,0)</f>
        <v>0</v>
      </c>
      <c r="AG256" s="43">
        <f t="shared" si="30"/>
        <v>0</v>
      </c>
      <c r="AH256" s="43">
        <f>IFERROR(HLOOKUP(Esiehdot!$B$17,Käyttötapauskriteerit!G$1:P223,256,0),1)</f>
        <v>1</v>
      </c>
      <c r="AI256" s="43">
        <f t="shared" si="31"/>
        <v>0</v>
      </c>
      <c r="AJ256" s="43">
        <f t="shared" si="32"/>
        <v>0</v>
      </c>
      <c r="AK256" s="43">
        <f t="shared" si="33"/>
        <v>0</v>
      </c>
      <c r="AL256" s="43">
        <f t="shared" si="34"/>
        <v>0</v>
      </c>
      <c r="AM256" s="43"/>
      <c r="AN256" s="45" t="str">
        <f t="shared" si="35"/>
        <v/>
      </c>
    </row>
    <row r="257" spans="1:40" ht="15.6">
      <c r="A257" s="5"/>
      <c r="B257" s="5"/>
      <c r="E257" s="17"/>
      <c r="F257" s="17"/>
      <c r="G257" s="17"/>
      <c r="H257" s="17"/>
      <c r="I257" s="17"/>
      <c r="J257" s="17"/>
      <c r="K257" s="17"/>
      <c r="L257" s="32"/>
      <c r="M257" s="61"/>
      <c r="N257" s="23"/>
      <c r="O257" s="23"/>
      <c r="P257" s="9"/>
      <c r="Q257" s="9"/>
      <c r="R257" s="9"/>
      <c r="S257" s="9"/>
      <c r="U257" s="42" t="str">
        <f t="shared" si="27"/>
        <v>, L:, E:, S:, TS:</v>
      </c>
      <c r="V257" s="42" t="str">
        <f t="shared" si="28"/>
        <v/>
      </c>
      <c r="W257" s="43">
        <f>IFERROR(VLOOKUP(A257,Esiehdot!A$11:D$15,4,0), 0)</f>
        <v>0</v>
      </c>
      <c r="X257" s="44">
        <f>IF(Esiehdot!D$4&gt;=IFERROR(VLOOKUP(E257,Valintalistat!D$2:H$7,5,0), 99),1,0)</f>
        <v>0</v>
      </c>
      <c r="Y257" s="44">
        <f>IF(Esiehdot!D$5&gt;=IFERROR(VLOOKUP(F257,Valintalistat!E$2:H$5,4,0), 99),1,0)</f>
        <v>0</v>
      </c>
      <c r="Z257" s="44">
        <f>IF(Esiehdot!D$6&gt;=IFERROR(VLOOKUP(G257,Valintalistat!F$2:H$5,3,0),99),1,0)</f>
        <v>0</v>
      </c>
      <c r="AA257" s="44">
        <f>IF(Esiehdot!D$8&gt;=IFERROR(VLOOKUP(H257,Valintalistat!G$2:H$5,2,0),99),1,0)</f>
        <v>0</v>
      </c>
      <c r="AB257" s="43">
        <f t="shared" si="29"/>
        <v>0</v>
      </c>
      <c r="AC257" s="44">
        <f>IF(Esiehdot!E$4=IFERROR(VLOOKUP(E257,Valintalistat!D$2:H$7,5,0),99),1,0)</f>
        <v>0</v>
      </c>
      <c r="AD257" s="44">
        <f>IF(Esiehdot!E$5=IFERROR(VLOOKUP(F257,Valintalistat!E$2:H$5,4,0),99),1,0)</f>
        <v>0</v>
      </c>
      <c r="AE257" s="44">
        <f>IF(Esiehdot!E$6=IFERROR(VLOOKUP(G257,Valintalistat!F$2:H$5,3,0),99),1,0)</f>
        <v>0</v>
      </c>
      <c r="AF257" s="44">
        <f>IF(Esiehdot!E$8=IFERROR(VLOOKUP(H257,Valintalistat!G$2:H$3,2,0),98),1,0)</f>
        <v>0</v>
      </c>
      <c r="AG257" s="43">
        <f t="shared" si="30"/>
        <v>0</v>
      </c>
      <c r="AH257" s="43">
        <f>IFERROR(HLOOKUP(Esiehdot!$B$17,Käyttötapauskriteerit!G$1:P223,257,0),1)</f>
        <v>1</v>
      </c>
      <c r="AI257" s="43">
        <f t="shared" si="31"/>
        <v>0</v>
      </c>
      <c r="AJ257" s="43">
        <f t="shared" si="32"/>
        <v>0</v>
      </c>
      <c r="AK257" s="43">
        <f t="shared" si="33"/>
        <v>0</v>
      </c>
      <c r="AL257" s="43">
        <f t="shared" si="34"/>
        <v>0</v>
      </c>
      <c r="AM257" s="43"/>
      <c r="AN257" s="45" t="str">
        <f t="shared" si="35"/>
        <v/>
      </c>
    </row>
    <row r="258" spans="1:40" ht="15.6">
      <c r="A258" s="5"/>
      <c r="B258" s="5"/>
      <c r="E258" s="17"/>
      <c r="F258" s="17"/>
      <c r="G258" s="17"/>
      <c r="H258" s="17"/>
      <c r="I258" s="17"/>
      <c r="J258" s="17"/>
      <c r="K258" s="17"/>
      <c r="L258" s="32"/>
      <c r="M258" s="61"/>
      <c r="N258" s="23"/>
      <c r="O258" s="23"/>
      <c r="P258" s="9"/>
      <c r="Q258" s="9"/>
      <c r="R258" s="9"/>
      <c r="S258" s="9"/>
      <c r="U258" s="42" t="str">
        <f t="shared" si="27"/>
        <v>, L:, E:, S:, TS:</v>
      </c>
      <c r="V258" s="42" t="str">
        <f t="shared" si="28"/>
        <v/>
      </c>
      <c r="W258" s="43">
        <f>IFERROR(VLOOKUP(A258,Esiehdot!A$11:D$15,4,0), 0)</f>
        <v>0</v>
      </c>
      <c r="X258" s="44">
        <f>IF(Esiehdot!D$4&gt;=IFERROR(VLOOKUP(E258,Valintalistat!D$2:H$7,5,0), 99),1,0)</f>
        <v>0</v>
      </c>
      <c r="Y258" s="44">
        <f>IF(Esiehdot!D$5&gt;=IFERROR(VLOOKUP(F258,Valintalistat!E$2:H$5,4,0), 99),1,0)</f>
        <v>0</v>
      </c>
      <c r="Z258" s="44">
        <f>IF(Esiehdot!D$6&gt;=IFERROR(VLOOKUP(G258,Valintalistat!F$2:H$5,3,0),99),1,0)</f>
        <v>0</v>
      </c>
      <c r="AA258" s="44">
        <f>IF(Esiehdot!D$8&gt;=IFERROR(VLOOKUP(H258,Valintalistat!G$2:H$5,2,0),99),1,0)</f>
        <v>0</v>
      </c>
      <c r="AB258" s="43">
        <f t="shared" si="29"/>
        <v>0</v>
      </c>
      <c r="AC258" s="44">
        <f>IF(Esiehdot!E$4=IFERROR(VLOOKUP(E258,Valintalistat!D$2:H$7,5,0),99),1,0)</f>
        <v>0</v>
      </c>
      <c r="AD258" s="44">
        <f>IF(Esiehdot!E$5=IFERROR(VLOOKUP(F258,Valintalistat!E$2:H$5,4,0),99),1,0)</f>
        <v>0</v>
      </c>
      <c r="AE258" s="44">
        <f>IF(Esiehdot!E$6=IFERROR(VLOOKUP(G258,Valintalistat!F$2:H$5,3,0),99),1,0)</f>
        <v>0</v>
      </c>
      <c r="AF258" s="44">
        <f>IF(Esiehdot!E$8=IFERROR(VLOOKUP(H258,Valintalistat!G$2:H$3,2,0),98),1,0)</f>
        <v>0</v>
      </c>
      <c r="AG258" s="43">
        <f t="shared" si="30"/>
        <v>0</v>
      </c>
      <c r="AH258" s="43">
        <f>IFERROR(HLOOKUP(Esiehdot!$B$17,Käyttötapauskriteerit!G$1:P223,258,0),1)</f>
        <v>1</v>
      </c>
      <c r="AI258" s="43">
        <f t="shared" si="31"/>
        <v>0</v>
      </c>
      <c r="AJ258" s="43">
        <f t="shared" si="32"/>
        <v>0</v>
      </c>
      <c r="AK258" s="43">
        <f t="shared" si="33"/>
        <v>0</v>
      </c>
      <c r="AL258" s="43">
        <f t="shared" si="34"/>
        <v>0</v>
      </c>
      <c r="AM258" s="43"/>
      <c r="AN258" s="45" t="str">
        <f t="shared" si="35"/>
        <v/>
      </c>
    </row>
    <row r="259" spans="1:40" ht="15.6">
      <c r="A259" s="5"/>
      <c r="B259" s="5"/>
      <c r="E259" s="17"/>
      <c r="F259" s="17"/>
      <c r="G259" s="17"/>
      <c r="H259" s="17"/>
      <c r="I259" s="17"/>
      <c r="J259" s="17"/>
      <c r="K259" s="17"/>
      <c r="L259" s="32"/>
      <c r="M259" s="61"/>
      <c r="N259" s="23"/>
      <c r="O259" s="23"/>
      <c r="P259" s="9"/>
      <c r="Q259" s="9"/>
      <c r="R259" s="9"/>
      <c r="S259" s="9"/>
      <c r="U259" s="42" t="str">
        <f t="shared" ref="U259:U322" si="36">CONCATENATE(C259,", L:",E259,", E:",F259,", S:",G259,", TS:",H259)</f>
        <v>, L:, E:, S:, TS:</v>
      </c>
      <c r="V259" s="42" t="str">
        <f t="shared" ref="V259:V322" si="37">IF(R259="",IF(S259="","",CONCATENATE("Katakri: ",S259)),IF(S259="",CONCATENATE("Julkri: ",R259),CONCATENATE("Julkri: ",R259,"; Katakri: ",S259)))</f>
        <v/>
      </c>
      <c r="W259" s="43">
        <f>IFERROR(VLOOKUP(A259,Esiehdot!A$11:D$15,4,0), 0)</f>
        <v>0</v>
      </c>
      <c r="X259" s="44">
        <f>IF(Esiehdot!D$4&gt;=IFERROR(VLOOKUP(E259,Valintalistat!D$2:H$7,5,0), 99),1,0)</f>
        <v>0</v>
      </c>
      <c r="Y259" s="44">
        <f>IF(Esiehdot!D$5&gt;=IFERROR(VLOOKUP(F259,Valintalistat!E$2:H$5,4,0), 99),1,0)</f>
        <v>0</v>
      </c>
      <c r="Z259" s="44">
        <f>IF(Esiehdot!D$6&gt;=IFERROR(VLOOKUP(G259,Valintalistat!F$2:H$5,3,0),99),1,0)</f>
        <v>0</v>
      </c>
      <c r="AA259" s="44">
        <f>IF(Esiehdot!D$8&gt;=IFERROR(VLOOKUP(H259,Valintalistat!G$2:H$5,2,0),99),1,0)</f>
        <v>0</v>
      </c>
      <c r="AB259" s="43">
        <f t="shared" ref="AB259:AB322" si="38">IF(X259+Y259+Z259+AA259=0,0,1)</f>
        <v>0</v>
      </c>
      <c r="AC259" s="44">
        <f>IF(Esiehdot!E$4=IFERROR(VLOOKUP(E259,Valintalistat!D$2:H$7,5,0),99),1,0)</f>
        <v>0</v>
      </c>
      <c r="AD259" s="44">
        <f>IF(Esiehdot!E$5=IFERROR(VLOOKUP(F259,Valintalistat!E$2:H$5,4,0),99),1,0)</f>
        <v>0</v>
      </c>
      <c r="AE259" s="44">
        <f>IF(Esiehdot!E$6=IFERROR(VLOOKUP(G259,Valintalistat!F$2:H$5,3,0),99),1,0)</f>
        <v>0</v>
      </c>
      <c r="AF259" s="44">
        <f>IF(Esiehdot!E$8=IFERROR(VLOOKUP(H259,Valintalistat!G$2:H$3,2,0),98),1,0)</f>
        <v>0</v>
      </c>
      <c r="AG259" s="43">
        <f t="shared" ref="AG259:AG322" si="39">IF(AC259+AD259+AE259+AF259&gt;X259+Y259+Z259+AA259,1,0)</f>
        <v>0</v>
      </c>
      <c r="AH259" s="43">
        <f>IFERROR(HLOOKUP(Esiehdot!$B$17,Käyttötapauskriteerit!G$1:P223,259,0),1)</f>
        <v>1</v>
      </c>
      <c r="AI259" s="43">
        <f t="shared" ref="AI259:AI322" si="40">IF(W259*AB259*AH259=1,1,0)</f>
        <v>0</v>
      </c>
      <c r="AJ259" s="43">
        <f t="shared" ref="AJ259:AJ322" si="41">IF(W259*AB259*AH259=2,1,0)</f>
        <v>0</v>
      </c>
      <c r="AK259" s="43">
        <f t="shared" ref="AK259:AK322" si="42">IF(W259*AG259*AH259=1,1,0)</f>
        <v>0</v>
      </c>
      <c r="AL259" s="43">
        <f t="shared" ref="AL259:AL322" si="43">IF(W259*AG259*AH259=2,1,0)</f>
        <v>0</v>
      </c>
      <c r="AM259" s="43"/>
      <c r="AN259" s="45" t="str">
        <f t="shared" ref="AN259:AN322" si="44">IF(C259="","",IF(AI259=1,"Olennainen",IF(AJ259=1,"Valinnainen",IF(AK259=1,"Valinnainen",IF(AL259=1,"Valinnainen","Ei ehdoteta hankintaan")))))</f>
        <v/>
      </c>
    </row>
    <row r="260" spans="1:40" ht="15.6">
      <c r="A260" s="5"/>
      <c r="B260" s="5"/>
      <c r="E260" s="17"/>
      <c r="F260" s="17"/>
      <c r="G260" s="17"/>
      <c r="H260" s="17"/>
      <c r="I260" s="17"/>
      <c r="J260" s="17"/>
      <c r="K260" s="17"/>
      <c r="L260" s="32"/>
      <c r="M260" s="61"/>
      <c r="N260" s="23"/>
      <c r="O260" s="23"/>
      <c r="P260" s="9"/>
      <c r="Q260" s="9"/>
      <c r="R260" s="9"/>
      <c r="S260" s="9"/>
      <c r="U260" s="42" t="str">
        <f t="shared" si="36"/>
        <v>, L:, E:, S:, TS:</v>
      </c>
      <c r="V260" s="42" t="str">
        <f t="shared" si="37"/>
        <v/>
      </c>
      <c r="W260" s="43">
        <f>IFERROR(VLOOKUP(A260,Esiehdot!A$11:D$15,4,0), 0)</f>
        <v>0</v>
      </c>
      <c r="X260" s="44">
        <f>IF(Esiehdot!D$4&gt;=IFERROR(VLOOKUP(E260,Valintalistat!D$2:H$7,5,0), 99),1,0)</f>
        <v>0</v>
      </c>
      <c r="Y260" s="44">
        <f>IF(Esiehdot!D$5&gt;=IFERROR(VLOOKUP(F260,Valintalistat!E$2:H$5,4,0), 99),1,0)</f>
        <v>0</v>
      </c>
      <c r="Z260" s="44">
        <f>IF(Esiehdot!D$6&gt;=IFERROR(VLOOKUP(G260,Valintalistat!F$2:H$5,3,0),99),1,0)</f>
        <v>0</v>
      </c>
      <c r="AA260" s="44">
        <f>IF(Esiehdot!D$8&gt;=IFERROR(VLOOKUP(H260,Valintalistat!G$2:H$5,2,0),99),1,0)</f>
        <v>0</v>
      </c>
      <c r="AB260" s="43">
        <f t="shared" si="38"/>
        <v>0</v>
      </c>
      <c r="AC260" s="44">
        <f>IF(Esiehdot!E$4=IFERROR(VLOOKUP(E260,Valintalistat!D$2:H$7,5,0),99),1,0)</f>
        <v>0</v>
      </c>
      <c r="AD260" s="44">
        <f>IF(Esiehdot!E$5=IFERROR(VLOOKUP(F260,Valintalistat!E$2:H$5,4,0),99),1,0)</f>
        <v>0</v>
      </c>
      <c r="AE260" s="44">
        <f>IF(Esiehdot!E$6=IFERROR(VLOOKUP(G260,Valintalistat!F$2:H$5,3,0),99),1,0)</f>
        <v>0</v>
      </c>
      <c r="AF260" s="44">
        <f>IF(Esiehdot!E$8=IFERROR(VLOOKUP(H260,Valintalistat!G$2:H$3,2,0),98),1,0)</f>
        <v>0</v>
      </c>
      <c r="AG260" s="43">
        <f t="shared" si="39"/>
        <v>0</v>
      </c>
      <c r="AH260" s="43">
        <f>IFERROR(HLOOKUP(Esiehdot!$B$17,Käyttötapauskriteerit!G$1:P223,260,0),1)</f>
        <v>1</v>
      </c>
      <c r="AI260" s="43">
        <f t="shared" si="40"/>
        <v>0</v>
      </c>
      <c r="AJ260" s="43">
        <f t="shared" si="41"/>
        <v>0</v>
      </c>
      <c r="AK260" s="43">
        <f t="shared" si="42"/>
        <v>0</v>
      </c>
      <c r="AL260" s="43">
        <f t="shared" si="43"/>
        <v>0</v>
      </c>
      <c r="AM260" s="43"/>
      <c r="AN260" s="45" t="str">
        <f t="shared" si="44"/>
        <v/>
      </c>
    </row>
    <row r="261" spans="1:40" ht="15.6">
      <c r="A261" s="5"/>
      <c r="B261" s="5"/>
      <c r="E261" s="17"/>
      <c r="F261" s="17"/>
      <c r="G261" s="17"/>
      <c r="H261" s="17"/>
      <c r="I261" s="17"/>
      <c r="J261" s="17"/>
      <c r="K261" s="17"/>
      <c r="L261" s="32"/>
      <c r="M261" s="61"/>
      <c r="N261" s="23"/>
      <c r="O261" s="23"/>
      <c r="P261" s="9"/>
      <c r="Q261" s="9"/>
      <c r="R261" s="9"/>
      <c r="S261" s="9"/>
      <c r="U261" s="42" t="str">
        <f t="shared" si="36"/>
        <v>, L:, E:, S:, TS:</v>
      </c>
      <c r="V261" s="42" t="str">
        <f t="shared" si="37"/>
        <v/>
      </c>
      <c r="W261" s="43">
        <f>IFERROR(VLOOKUP(A261,Esiehdot!A$11:D$15,4,0), 0)</f>
        <v>0</v>
      </c>
      <c r="X261" s="44">
        <f>IF(Esiehdot!D$4&gt;=IFERROR(VLOOKUP(E261,Valintalistat!D$2:H$7,5,0), 99),1,0)</f>
        <v>0</v>
      </c>
      <c r="Y261" s="44">
        <f>IF(Esiehdot!D$5&gt;=IFERROR(VLOOKUP(F261,Valintalistat!E$2:H$5,4,0), 99),1,0)</f>
        <v>0</v>
      </c>
      <c r="Z261" s="44">
        <f>IF(Esiehdot!D$6&gt;=IFERROR(VLOOKUP(G261,Valintalistat!F$2:H$5,3,0),99),1,0)</f>
        <v>0</v>
      </c>
      <c r="AA261" s="44">
        <f>IF(Esiehdot!D$8&gt;=IFERROR(VLOOKUP(H261,Valintalistat!G$2:H$5,2,0),99),1,0)</f>
        <v>0</v>
      </c>
      <c r="AB261" s="43">
        <f t="shared" si="38"/>
        <v>0</v>
      </c>
      <c r="AC261" s="44">
        <f>IF(Esiehdot!E$4=IFERROR(VLOOKUP(E261,Valintalistat!D$2:H$7,5,0),99),1,0)</f>
        <v>0</v>
      </c>
      <c r="AD261" s="44">
        <f>IF(Esiehdot!E$5=IFERROR(VLOOKUP(F261,Valintalistat!E$2:H$5,4,0),99),1,0)</f>
        <v>0</v>
      </c>
      <c r="AE261" s="44">
        <f>IF(Esiehdot!E$6=IFERROR(VLOOKUP(G261,Valintalistat!F$2:H$5,3,0),99),1,0)</f>
        <v>0</v>
      </c>
      <c r="AF261" s="44">
        <f>IF(Esiehdot!E$8=IFERROR(VLOOKUP(H261,Valintalistat!G$2:H$3,2,0),98),1,0)</f>
        <v>0</v>
      </c>
      <c r="AG261" s="43">
        <f t="shared" si="39"/>
        <v>0</v>
      </c>
      <c r="AH261" s="43">
        <f>IFERROR(HLOOKUP(Esiehdot!$B$17,Käyttötapauskriteerit!G$1:P223,261,0),1)</f>
        <v>1</v>
      </c>
      <c r="AI261" s="43">
        <f t="shared" si="40"/>
        <v>0</v>
      </c>
      <c r="AJ261" s="43">
        <f t="shared" si="41"/>
        <v>0</v>
      </c>
      <c r="AK261" s="43">
        <f t="shared" si="42"/>
        <v>0</v>
      </c>
      <c r="AL261" s="43">
        <f t="shared" si="43"/>
        <v>0</v>
      </c>
      <c r="AM261" s="43"/>
      <c r="AN261" s="45" t="str">
        <f t="shared" si="44"/>
        <v/>
      </c>
    </row>
    <row r="262" spans="1:40" ht="15.6">
      <c r="A262" s="5"/>
      <c r="B262" s="5"/>
      <c r="E262" s="17"/>
      <c r="F262" s="17"/>
      <c r="G262" s="17"/>
      <c r="H262" s="17"/>
      <c r="I262" s="17"/>
      <c r="J262" s="17"/>
      <c r="K262" s="17"/>
      <c r="L262" s="32"/>
      <c r="M262" s="61"/>
      <c r="N262" s="23"/>
      <c r="O262" s="23"/>
      <c r="P262" s="9"/>
      <c r="Q262" s="9"/>
      <c r="R262" s="9"/>
      <c r="S262" s="9"/>
      <c r="U262" s="42" t="str">
        <f t="shared" si="36"/>
        <v>, L:, E:, S:, TS:</v>
      </c>
      <c r="V262" s="42" t="str">
        <f t="shared" si="37"/>
        <v/>
      </c>
      <c r="W262" s="43">
        <f>IFERROR(VLOOKUP(A262,Esiehdot!A$11:D$15,4,0), 0)</f>
        <v>0</v>
      </c>
      <c r="X262" s="44">
        <f>IF(Esiehdot!D$4&gt;=IFERROR(VLOOKUP(E262,Valintalistat!D$2:H$7,5,0), 99),1,0)</f>
        <v>0</v>
      </c>
      <c r="Y262" s="44">
        <f>IF(Esiehdot!D$5&gt;=IFERROR(VLOOKUP(F262,Valintalistat!E$2:H$5,4,0), 99),1,0)</f>
        <v>0</v>
      </c>
      <c r="Z262" s="44">
        <f>IF(Esiehdot!D$6&gt;=IFERROR(VLOOKUP(G262,Valintalistat!F$2:H$5,3,0),99),1,0)</f>
        <v>0</v>
      </c>
      <c r="AA262" s="44">
        <f>IF(Esiehdot!D$8&gt;=IFERROR(VLOOKUP(H262,Valintalistat!G$2:H$5,2,0),99),1,0)</f>
        <v>0</v>
      </c>
      <c r="AB262" s="43">
        <f t="shared" si="38"/>
        <v>0</v>
      </c>
      <c r="AC262" s="44">
        <f>IF(Esiehdot!E$4=IFERROR(VLOOKUP(E262,Valintalistat!D$2:H$7,5,0),99),1,0)</f>
        <v>0</v>
      </c>
      <c r="AD262" s="44">
        <f>IF(Esiehdot!E$5=IFERROR(VLOOKUP(F262,Valintalistat!E$2:H$5,4,0),99),1,0)</f>
        <v>0</v>
      </c>
      <c r="AE262" s="44">
        <f>IF(Esiehdot!E$6=IFERROR(VLOOKUP(G262,Valintalistat!F$2:H$5,3,0),99),1,0)</f>
        <v>0</v>
      </c>
      <c r="AF262" s="44">
        <f>IF(Esiehdot!E$8=IFERROR(VLOOKUP(H262,Valintalistat!G$2:H$3,2,0),98),1,0)</f>
        <v>0</v>
      </c>
      <c r="AG262" s="43">
        <f t="shared" si="39"/>
        <v>0</v>
      </c>
      <c r="AH262" s="43">
        <f>IFERROR(HLOOKUP(Esiehdot!$B$17,Käyttötapauskriteerit!G$1:P223,262,0),1)</f>
        <v>1</v>
      </c>
      <c r="AI262" s="43">
        <f t="shared" si="40"/>
        <v>0</v>
      </c>
      <c r="AJ262" s="43">
        <f t="shared" si="41"/>
        <v>0</v>
      </c>
      <c r="AK262" s="43">
        <f t="shared" si="42"/>
        <v>0</v>
      </c>
      <c r="AL262" s="43">
        <f t="shared" si="43"/>
        <v>0</v>
      </c>
      <c r="AM262" s="43"/>
      <c r="AN262" s="45" t="str">
        <f t="shared" si="44"/>
        <v/>
      </c>
    </row>
    <row r="263" spans="1:40" ht="15.6">
      <c r="A263" s="5"/>
      <c r="B263" s="5"/>
      <c r="E263" s="17"/>
      <c r="F263" s="17"/>
      <c r="G263" s="17"/>
      <c r="H263" s="17"/>
      <c r="I263" s="17"/>
      <c r="J263" s="17"/>
      <c r="K263" s="17"/>
      <c r="L263" s="32"/>
      <c r="M263" s="61"/>
      <c r="N263" s="23"/>
      <c r="O263" s="23"/>
      <c r="P263" s="9"/>
      <c r="Q263" s="9"/>
      <c r="R263" s="9"/>
      <c r="S263" s="9"/>
      <c r="U263" s="42" t="str">
        <f t="shared" si="36"/>
        <v>, L:, E:, S:, TS:</v>
      </c>
      <c r="V263" s="42" t="str">
        <f t="shared" si="37"/>
        <v/>
      </c>
      <c r="W263" s="43">
        <f>IFERROR(VLOOKUP(A263,Esiehdot!A$11:D$15,4,0), 0)</f>
        <v>0</v>
      </c>
      <c r="X263" s="44">
        <f>IF(Esiehdot!D$4&gt;=IFERROR(VLOOKUP(E263,Valintalistat!D$2:H$7,5,0), 99),1,0)</f>
        <v>0</v>
      </c>
      <c r="Y263" s="44">
        <f>IF(Esiehdot!D$5&gt;=IFERROR(VLOOKUP(F263,Valintalistat!E$2:H$5,4,0), 99),1,0)</f>
        <v>0</v>
      </c>
      <c r="Z263" s="44">
        <f>IF(Esiehdot!D$6&gt;=IFERROR(VLOOKUP(G263,Valintalistat!F$2:H$5,3,0),99),1,0)</f>
        <v>0</v>
      </c>
      <c r="AA263" s="44">
        <f>IF(Esiehdot!D$8&gt;=IFERROR(VLOOKUP(H263,Valintalistat!G$2:H$5,2,0),99),1,0)</f>
        <v>0</v>
      </c>
      <c r="AB263" s="43">
        <f t="shared" si="38"/>
        <v>0</v>
      </c>
      <c r="AC263" s="44">
        <f>IF(Esiehdot!E$4=IFERROR(VLOOKUP(E263,Valintalistat!D$2:H$7,5,0),99),1,0)</f>
        <v>0</v>
      </c>
      <c r="AD263" s="44">
        <f>IF(Esiehdot!E$5=IFERROR(VLOOKUP(F263,Valintalistat!E$2:H$5,4,0),99),1,0)</f>
        <v>0</v>
      </c>
      <c r="AE263" s="44">
        <f>IF(Esiehdot!E$6=IFERROR(VLOOKUP(G263,Valintalistat!F$2:H$5,3,0),99),1,0)</f>
        <v>0</v>
      </c>
      <c r="AF263" s="44">
        <f>IF(Esiehdot!E$8=IFERROR(VLOOKUP(H263,Valintalistat!G$2:H$3,2,0),98),1,0)</f>
        <v>0</v>
      </c>
      <c r="AG263" s="43">
        <f t="shared" si="39"/>
        <v>0</v>
      </c>
      <c r="AH263" s="43">
        <f>IFERROR(HLOOKUP(Esiehdot!$B$17,Käyttötapauskriteerit!G$1:P223,263,0),1)</f>
        <v>1</v>
      </c>
      <c r="AI263" s="43">
        <f t="shared" si="40"/>
        <v>0</v>
      </c>
      <c r="AJ263" s="43">
        <f t="shared" si="41"/>
        <v>0</v>
      </c>
      <c r="AK263" s="43">
        <f t="shared" si="42"/>
        <v>0</v>
      </c>
      <c r="AL263" s="43">
        <f t="shared" si="43"/>
        <v>0</v>
      </c>
      <c r="AM263" s="43"/>
      <c r="AN263" s="45" t="str">
        <f t="shared" si="44"/>
        <v/>
      </c>
    </row>
    <row r="264" spans="1:40" ht="15.6">
      <c r="A264" s="5"/>
      <c r="B264" s="5"/>
      <c r="E264" s="17"/>
      <c r="F264" s="17"/>
      <c r="G264" s="17"/>
      <c r="H264" s="17"/>
      <c r="I264" s="17"/>
      <c r="J264" s="17"/>
      <c r="K264" s="17"/>
      <c r="L264" s="32"/>
      <c r="M264" s="61"/>
      <c r="N264" s="23"/>
      <c r="O264" s="23"/>
      <c r="P264" s="9"/>
      <c r="Q264" s="9"/>
      <c r="R264" s="9"/>
      <c r="S264" s="9"/>
      <c r="U264" s="42" t="str">
        <f t="shared" si="36"/>
        <v>, L:, E:, S:, TS:</v>
      </c>
      <c r="V264" s="42" t="str">
        <f t="shared" si="37"/>
        <v/>
      </c>
      <c r="W264" s="43">
        <f>IFERROR(VLOOKUP(A264,Esiehdot!A$11:D$15,4,0), 0)</f>
        <v>0</v>
      </c>
      <c r="X264" s="44">
        <f>IF(Esiehdot!D$4&gt;=IFERROR(VLOOKUP(E264,Valintalistat!D$2:H$7,5,0), 99),1,0)</f>
        <v>0</v>
      </c>
      <c r="Y264" s="44">
        <f>IF(Esiehdot!D$5&gt;=IFERROR(VLOOKUP(F264,Valintalistat!E$2:H$5,4,0), 99),1,0)</f>
        <v>0</v>
      </c>
      <c r="Z264" s="44">
        <f>IF(Esiehdot!D$6&gt;=IFERROR(VLOOKUP(G264,Valintalistat!F$2:H$5,3,0),99),1,0)</f>
        <v>0</v>
      </c>
      <c r="AA264" s="44">
        <f>IF(Esiehdot!D$8&gt;=IFERROR(VLOOKUP(H264,Valintalistat!G$2:H$5,2,0),99),1,0)</f>
        <v>0</v>
      </c>
      <c r="AB264" s="43">
        <f t="shared" si="38"/>
        <v>0</v>
      </c>
      <c r="AC264" s="44">
        <f>IF(Esiehdot!E$4=IFERROR(VLOOKUP(E264,Valintalistat!D$2:H$7,5,0),99),1,0)</f>
        <v>0</v>
      </c>
      <c r="AD264" s="44">
        <f>IF(Esiehdot!E$5=IFERROR(VLOOKUP(F264,Valintalistat!E$2:H$5,4,0),99),1,0)</f>
        <v>0</v>
      </c>
      <c r="AE264" s="44">
        <f>IF(Esiehdot!E$6=IFERROR(VLOOKUP(G264,Valintalistat!F$2:H$5,3,0),99),1,0)</f>
        <v>0</v>
      </c>
      <c r="AF264" s="44">
        <f>IF(Esiehdot!E$8=IFERROR(VLOOKUP(H264,Valintalistat!G$2:H$3,2,0),98),1,0)</f>
        <v>0</v>
      </c>
      <c r="AG264" s="43">
        <f t="shared" si="39"/>
        <v>0</v>
      </c>
      <c r="AH264" s="43">
        <f>IFERROR(HLOOKUP(Esiehdot!$B$17,Käyttötapauskriteerit!G$1:P223,264,0),1)</f>
        <v>1</v>
      </c>
      <c r="AI264" s="43">
        <f t="shared" si="40"/>
        <v>0</v>
      </c>
      <c r="AJ264" s="43">
        <f t="shared" si="41"/>
        <v>0</v>
      </c>
      <c r="AK264" s="43">
        <f t="shared" si="42"/>
        <v>0</v>
      </c>
      <c r="AL264" s="43">
        <f t="shared" si="43"/>
        <v>0</v>
      </c>
      <c r="AM264" s="43"/>
      <c r="AN264" s="45" t="str">
        <f t="shared" si="44"/>
        <v/>
      </c>
    </row>
    <row r="265" spans="1:40" ht="15.6">
      <c r="A265" s="5"/>
      <c r="B265" s="5"/>
      <c r="E265" s="17"/>
      <c r="F265" s="17"/>
      <c r="G265" s="17"/>
      <c r="H265" s="17"/>
      <c r="I265" s="17"/>
      <c r="J265" s="17"/>
      <c r="K265" s="17"/>
      <c r="L265" s="32"/>
      <c r="M265" s="61"/>
      <c r="N265" s="23"/>
      <c r="O265" s="23"/>
      <c r="P265" s="9"/>
      <c r="Q265" s="9"/>
      <c r="R265" s="9"/>
      <c r="S265" s="9"/>
      <c r="U265" s="42" t="str">
        <f t="shared" si="36"/>
        <v>, L:, E:, S:, TS:</v>
      </c>
      <c r="V265" s="42" t="str">
        <f t="shared" si="37"/>
        <v/>
      </c>
      <c r="W265" s="43">
        <f>IFERROR(VLOOKUP(A265,Esiehdot!A$11:D$15,4,0), 0)</f>
        <v>0</v>
      </c>
      <c r="X265" s="44">
        <f>IF(Esiehdot!D$4&gt;=IFERROR(VLOOKUP(E265,Valintalistat!D$2:H$7,5,0), 99),1,0)</f>
        <v>0</v>
      </c>
      <c r="Y265" s="44">
        <f>IF(Esiehdot!D$5&gt;=IFERROR(VLOOKUP(F265,Valintalistat!E$2:H$5,4,0), 99),1,0)</f>
        <v>0</v>
      </c>
      <c r="Z265" s="44">
        <f>IF(Esiehdot!D$6&gt;=IFERROR(VLOOKUP(G265,Valintalistat!F$2:H$5,3,0),99),1,0)</f>
        <v>0</v>
      </c>
      <c r="AA265" s="44">
        <f>IF(Esiehdot!D$8&gt;=IFERROR(VLOOKUP(H265,Valintalistat!G$2:H$5,2,0),99),1,0)</f>
        <v>0</v>
      </c>
      <c r="AB265" s="43">
        <f t="shared" si="38"/>
        <v>0</v>
      </c>
      <c r="AC265" s="44">
        <f>IF(Esiehdot!E$4=IFERROR(VLOOKUP(E265,Valintalistat!D$2:H$7,5,0),99),1,0)</f>
        <v>0</v>
      </c>
      <c r="AD265" s="44">
        <f>IF(Esiehdot!E$5=IFERROR(VLOOKUP(F265,Valintalistat!E$2:H$5,4,0),99),1,0)</f>
        <v>0</v>
      </c>
      <c r="AE265" s="44">
        <f>IF(Esiehdot!E$6=IFERROR(VLOOKUP(G265,Valintalistat!F$2:H$5,3,0),99),1,0)</f>
        <v>0</v>
      </c>
      <c r="AF265" s="44">
        <f>IF(Esiehdot!E$8=IFERROR(VLOOKUP(H265,Valintalistat!G$2:H$3,2,0),98),1,0)</f>
        <v>0</v>
      </c>
      <c r="AG265" s="43">
        <f t="shared" si="39"/>
        <v>0</v>
      </c>
      <c r="AH265" s="43">
        <f>IFERROR(HLOOKUP(Esiehdot!$B$17,Käyttötapauskriteerit!G$1:P223,265,0),1)</f>
        <v>1</v>
      </c>
      <c r="AI265" s="43">
        <f t="shared" si="40"/>
        <v>0</v>
      </c>
      <c r="AJ265" s="43">
        <f t="shared" si="41"/>
        <v>0</v>
      </c>
      <c r="AK265" s="43">
        <f t="shared" si="42"/>
        <v>0</v>
      </c>
      <c r="AL265" s="43">
        <f t="shared" si="43"/>
        <v>0</v>
      </c>
      <c r="AM265" s="43"/>
      <c r="AN265" s="45" t="str">
        <f t="shared" si="44"/>
        <v/>
      </c>
    </row>
    <row r="266" spans="1:40" ht="15.6">
      <c r="A266" s="5"/>
      <c r="B266" s="5"/>
      <c r="E266" s="17"/>
      <c r="F266" s="17"/>
      <c r="G266" s="17"/>
      <c r="H266" s="17"/>
      <c r="I266" s="17"/>
      <c r="J266" s="17"/>
      <c r="K266" s="17"/>
      <c r="L266" s="32"/>
      <c r="M266" s="61"/>
      <c r="N266" s="23"/>
      <c r="O266" s="23"/>
      <c r="P266" s="9"/>
      <c r="Q266" s="9"/>
      <c r="R266" s="9"/>
      <c r="S266" s="9"/>
      <c r="U266" s="42" t="str">
        <f t="shared" si="36"/>
        <v>, L:, E:, S:, TS:</v>
      </c>
      <c r="V266" s="42" t="str">
        <f t="shared" si="37"/>
        <v/>
      </c>
      <c r="W266" s="43">
        <f>IFERROR(VLOOKUP(A266,Esiehdot!A$11:D$15,4,0), 0)</f>
        <v>0</v>
      </c>
      <c r="X266" s="44">
        <f>IF(Esiehdot!D$4&gt;=IFERROR(VLOOKUP(E266,Valintalistat!D$2:H$7,5,0), 99),1,0)</f>
        <v>0</v>
      </c>
      <c r="Y266" s="44">
        <f>IF(Esiehdot!D$5&gt;=IFERROR(VLOOKUP(F266,Valintalistat!E$2:H$5,4,0), 99),1,0)</f>
        <v>0</v>
      </c>
      <c r="Z266" s="44">
        <f>IF(Esiehdot!D$6&gt;=IFERROR(VLOOKUP(G266,Valintalistat!F$2:H$5,3,0),99),1,0)</f>
        <v>0</v>
      </c>
      <c r="AA266" s="44">
        <f>IF(Esiehdot!D$8&gt;=IFERROR(VLOOKUP(H266,Valintalistat!G$2:H$5,2,0),99),1,0)</f>
        <v>0</v>
      </c>
      <c r="AB266" s="43">
        <f t="shared" si="38"/>
        <v>0</v>
      </c>
      <c r="AC266" s="44">
        <f>IF(Esiehdot!E$4=IFERROR(VLOOKUP(E266,Valintalistat!D$2:H$7,5,0),99),1,0)</f>
        <v>0</v>
      </c>
      <c r="AD266" s="44">
        <f>IF(Esiehdot!E$5=IFERROR(VLOOKUP(F266,Valintalistat!E$2:H$5,4,0),99),1,0)</f>
        <v>0</v>
      </c>
      <c r="AE266" s="44">
        <f>IF(Esiehdot!E$6=IFERROR(VLOOKUP(G266,Valintalistat!F$2:H$5,3,0),99),1,0)</f>
        <v>0</v>
      </c>
      <c r="AF266" s="44">
        <f>IF(Esiehdot!E$8=IFERROR(VLOOKUP(H266,Valintalistat!G$2:H$3,2,0),98),1,0)</f>
        <v>0</v>
      </c>
      <c r="AG266" s="43">
        <f t="shared" si="39"/>
        <v>0</v>
      </c>
      <c r="AH266" s="43">
        <f>IFERROR(HLOOKUP(Esiehdot!$B$17,Käyttötapauskriteerit!G$1:P223,266,0),1)</f>
        <v>1</v>
      </c>
      <c r="AI266" s="43">
        <f t="shared" si="40"/>
        <v>0</v>
      </c>
      <c r="AJ266" s="43">
        <f t="shared" si="41"/>
        <v>0</v>
      </c>
      <c r="AK266" s="43">
        <f t="shared" si="42"/>
        <v>0</v>
      </c>
      <c r="AL266" s="43">
        <f t="shared" si="43"/>
        <v>0</v>
      </c>
      <c r="AM266" s="43"/>
      <c r="AN266" s="45" t="str">
        <f t="shared" si="44"/>
        <v/>
      </c>
    </row>
    <row r="267" spans="1:40" ht="15.6">
      <c r="A267" s="5"/>
      <c r="B267" s="5"/>
      <c r="E267" s="17"/>
      <c r="F267" s="17"/>
      <c r="G267" s="17"/>
      <c r="H267" s="17"/>
      <c r="I267" s="17"/>
      <c r="J267" s="17"/>
      <c r="K267" s="17"/>
      <c r="L267" s="32"/>
      <c r="M267" s="61"/>
      <c r="N267" s="23"/>
      <c r="O267" s="23"/>
      <c r="P267" s="9"/>
      <c r="Q267" s="9"/>
      <c r="R267" s="9"/>
      <c r="S267" s="9"/>
      <c r="U267" s="42" t="str">
        <f t="shared" si="36"/>
        <v>, L:, E:, S:, TS:</v>
      </c>
      <c r="V267" s="42" t="str">
        <f t="shared" si="37"/>
        <v/>
      </c>
      <c r="W267" s="43">
        <f>IFERROR(VLOOKUP(A267,Esiehdot!A$11:D$15,4,0), 0)</f>
        <v>0</v>
      </c>
      <c r="X267" s="44">
        <f>IF(Esiehdot!D$4&gt;=IFERROR(VLOOKUP(E267,Valintalistat!D$2:H$7,5,0), 99),1,0)</f>
        <v>0</v>
      </c>
      <c r="Y267" s="44">
        <f>IF(Esiehdot!D$5&gt;=IFERROR(VLOOKUP(F267,Valintalistat!E$2:H$5,4,0), 99),1,0)</f>
        <v>0</v>
      </c>
      <c r="Z267" s="44">
        <f>IF(Esiehdot!D$6&gt;=IFERROR(VLOOKUP(G267,Valintalistat!F$2:H$5,3,0),99),1,0)</f>
        <v>0</v>
      </c>
      <c r="AA267" s="44">
        <f>IF(Esiehdot!D$8&gt;=IFERROR(VLOOKUP(H267,Valintalistat!G$2:H$5,2,0),99),1,0)</f>
        <v>0</v>
      </c>
      <c r="AB267" s="43">
        <f t="shared" si="38"/>
        <v>0</v>
      </c>
      <c r="AC267" s="44">
        <f>IF(Esiehdot!E$4=IFERROR(VLOOKUP(E267,Valintalistat!D$2:H$7,5,0),99),1,0)</f>
        <v>0</v>
      </c>
      <c r="AD267" s="44">
        <f>IF(Esiehdot!E$5=IFERROR(VLOOKUP(F267,Valintalistat!E$2:H$5,4,0),99),1,0)</f>
        <v>0</v>
      </c>
      <c r="AE267" s="44">
        <f>IF(Esiehdot!E$6=IFERROR(VLOOKUP(G267,Valintalistat!F$2:H$5,3,0),99),1,0)</f>
        <v>0</v>
      </c>
      <c r="AF267" s="44">
        <f>IF(Esiehdot!E$8=IFERROR(VLOOKUP(H267,Valintalistat!G$2:H$3,2,0),98),1,0)</f>
        <v>0</v>
      </c>
      <c r="AG267" s="43">
        <f t="shared" si="39"/>
        <v>0</v>
      </c>
      <c r="AH267" s="43">
        <f>IFERROR(HLOOKUP(Esiehdot!$B$17,Käyttötapauskriteerit!G$1:P223,267,0),1)</f>
        <v>1</v>
      </c>
      <c r="AI267" s="43">
        <f t="shared" si="40"/>
        <v>0</v>
      </c>
      <c r="AJ267" s="43">
        <f t="shared" si="41"/>
        <v>0</v>
      </c>
      <c r="AK267" s="43">
        <f t="shared" si="42"/>
        <v>0</v>
      </c>
      <c r="AL267" s="43">
        <f t="shared" si="43"/>
        <v>0</v>
      </c>
      <c r="AM267" s="43"/>
      <c r="AN267" s="45" t="str">
        <f t="shared" si="44"/>
        <v/>
      </c>
    </row>
    <row r="268" spans="1:40" ht="15.6">
      <c r="A268" s="5"/>
      <c r="B268" s="5"/>
      <c r="E268" s="17"/>
      <c r="F268" s="17"/>
      <c r="G268" s="17"/>
      <c r="H268" s="17"/>
      <c r="I268" s="17"/>
      <c r="J268" s="17"/>
      <c r="K268" s="17"/>
      <c r="L268" s="32"/>
      <c r="M268" s="61"/>
      <c r="N268" s="23"/>
      <c r="O268" s="23"/>
      <c r="P268" s="9"/>
      <c r="Q268" s="9"/>
      <c r="R268" s="9"/>
      <c r="S268" s="9"/>
      <c r="U268" s="42" t="str">
        <f t="shared" si="36"/>
        <v>, L:, E:, S:, TS:</v>
      </c>
      <c r="V268" s="42" t="str">
        <f t="shared" si="37"/>
        <v/>
      </c>
      <c r="W268" s="43">
        <f>IFERROR(VLOOKUP(A268,Esiehdot!A$11:D$15,4,0), 0)</f>
        <v>0</v>
      </c>
      <c r="X268" s="44">
        <f>IF(Esiehdot!D$4&gt;=IFERROR(VLOOKUP(E268,Valintalistat!D$2:H$7,5,0), 99),1,0)</f>
        <v>0</v>
      </c>
      <c r="Y268" s="44">
        <f>IF(Esiehdot!D$5&gt;=IFERROR(VLOOKUP(F268,Valintalistat!E$2:H$5,4,0), 99),1,0)</f>
        <v>0</v>
      </c>
      <c r="Z268" s="44">
        <f>IF(Esiehdot!D$6&gt;=IFERROR(VLOOKUP(G268,Valintalistat!F$2:H$5,3,0),99),1,0)</f>
        <v>0</v>
      </c>
      <c r="AA268" s="44">
        <f>IF(Esiehdot!D$8&gt;=IFERROR(VLOOKUP(H268,Valintalistat!G$2:H$5,2,0),99),1,0)</f>
        <v>0</v>
      </c>
      <c r="AB268" s="43">
        <f t="shared" si="38"/>
        <v>0</v>
      </c>
      <c r="AC268" s="44">
        <f>IF(Esiehdot!E$4=IFERROR(VLOOKUP(E268,Valintalistat!D$2:H$7,5,0),99),1,0)</f>
        <v>0</v>
      </c>
      <c r="AD268" s="44">
        <f>IF(Esiehdot!E$5=IFERROR(VLOOKUP(F268,Valintalistat!E$2:H$5,4,0),99),1,0)</f>
        <v>0</v>
      </c>
      <c r="AE268" s="44">
        <f>IF(Esiehdot!E$6=IFERROR(VLOOKUP(G268,Valintalistat!F$2:H$5,3,0),99),1,0)</f>
        <v>0</v>
      </c>
      <c r="AF268" s="44">
        <f>IF(Esiehdot!E$8=IFERROR(VLOOKUP(H268,Valintalistat!G$2:H$3,2,0),98),1,0)</f>
        <v>0</v>
      </c>
      <c r="AG268" s="43">
        <f t="shared" si="39"/>
        <v>0</v>
      </c>
      <c r="AH268" s="43">
        <f>IFERROR(HLOOKUP(Esiehdot!$B$17,Käyttötapauskriteerit!G$1:P223,268,0),1)</f>
        <v>1</v>
      </c>
      <c r="AI268" s="43">
        <f t="shared" si="40"/>
        <v>0</v>
      </c>
      <c r="AJ268" s="43">
        <f t="shared" si="41"/>
        <v>0</v>
      </c>
      <c r="AK268" s="43">
        <f t="shared" si="42"/>
        <v>0</v>
      </c>
      <c r="AL268" s="43">
        <f t="shared" si="43"/>
        <v>0</v>
      </c>
      <c r="AM268" s="43"/>
      <c r="AN268" s="45" t="str">
        <f t="shared" si="44"/>
        <v/>
      </c>
    </row>
    <row r="269" spans="1:40" ht="15.6">
      <c r="A269" s="5"/>
      <c r="B269" s="5"/>
      <c r="E269" s="17"/>
      <c r="F269" s="17"/>
      <c r="G269" s="17"/>
      <c r="H269" s="17"/>
      <c r="I269" s="17"/>
      <c r="J269" s="17"/>
      <c r="K269" s="17"/>
      <c r="L269" s="32"/>
      <c r="M269" s="61"/>
      <c r="N269" s="23"/>
      <c r="O269" s="23"/>
      <c r="P269" s="9"/>
      <c r="Q269" s="9"/>
      <c r="R269" s="9"/>
      <c r="S269" s="9"/>
      <c r="U269" s="42" t="str">
        <f t="shared" si="36"/>
        <v>, L:, E:, S:, TS:</v>
      </c>
      <c r="V269" s="42" t="str">
        <f t="shared" si="37"/>
        <v/>
      </c>
      <c r="W269" s="43">
        <f>IFERROR(VLOOKUP(A269,Esiehdot!A$11:D$15,4,0), 0)</f>
        <v>0</v>
      </c>
      <c r="X269" s="44">
        <f>IF(Esiehdot!D$4&gt;=IFERROR(VLOOKUP(E269,Valintalistat!D$2:H$7,5,0), 99),1,0)</f>
        <v>0</v>
      </c>
      <c r="Y269" s="44">
        <f>IF(Esiehdot!D$5&gt;=IFERROR(VLOOKUP(F269,Valintalistat!E$2:H$5,4,0), 99),1,0)</f>
        <v>0</v>
      </c>
      <c r="Z269" s="44">
        <f>IF(Esiehdot!D$6&gt;=IFERROR(VLOOKUP(G269,Valintalistat!F$2:H$5,3,0),99),1,0)</f>
        <v>0</v>
      </c>
      <c r="AA269" s="44">
        <f>IF(Esiehdot!D$8&gt;=IFERROR(VLOOKUP(H269,Valintalistat!G$2:H$5,2,0),99),1,0)</f>
        <v>0</v>
      </c>
      <c r="AB269" s="43">
        <f t="shared" si="38"/>
        <v>0</v>
      </c>
      <c r="AC269" s="44">
        <f>IF(Esiehdot!E$4=IFERROR(VLOOKUP(E269,Valintalistat!D$2:H$7,5,0),99),1,0)</f>
        <v>0</v>
      </c>
      <c r="AD269" s="44">
        <f>IF(Esiehdot!E$5=IFERROR(VLOOKUP(F269,Valintalistat!E$2:H$5,4,0),99),1,0)</f>
        <v>0</v>
      </c>
      <c r="AE269" s="44">
        <f>IF(Esiehdot!E$6=IFERROR(VLOOKUP(G269,Valintalistat!F$2:H$5,3,0),99),1,0)</f>
        <v>0</v>
      </c>
      <c r="AF269" s="44">
        <f>IF(Esiehdot!E$8=IFERROR(VLOOKUP(H269,Valintalistat!G$2:H$3,2,0),98),1,0)</f>
        <v>0</v>
      </c>
      <c r="AG269" s="43">
        <f t="shared" si="39"/>
        <v>0</v>
      </c>
      <c r="AH269" s="43">
        <f>IFERROR(HLOOKUP(Esiehdot!$B$17,Käyttötapauskriteerit!G$1:P223,269,0),1)</f>
        <v>1</v>
      </c>
      <c r="AI269" s="43">
        <f t="shared" si="40"/>
        <v>0</v>
      </c>
      <c r="AJ269" s="43">
        <f t="shared" si="41"/>
        <v>0</v>
      </c>
      <c r="AK269" s="43">
        <f t="shared" si="42"/>
        <v>0</v>
      </c>
      <c r="AL269" s="43">
        <f t="shared" si="43"/>
        <v>0</v>
      </c>
      <c r="AM269" s="43"/>
      <c r="AN269" s="45" t="str">
        <f t="shared" si="44"/>
        <v/>
      </c>
    </row>
    <row r="270" spans="1:40" ht="15.6">
      <c r="A270" s="5"/>
      <c r="B270" s="5"/>
      <c r="E270" s="17"/>
      <c r="F270" s="17"/>
      <c r="G270" s="17"/>
      <c r="H270" s="17"/>
      <c r="I270" s="17"/>
      <c r="J270" s="17"/>
      <c r="K270" s="17"/>
      <c r="L270" s="32"/>
      <c r="M270" s="61"/>
      <c r="N270" s="23"/>
      <c r="O270" s="23"/>
      <c r="P270" s="9"/>
      <c r="Q270" s="9"/>
      <c r="R270" s="9"/>
      <c r="S270" s="9"/>
      <c r="U270" s="42" t="str">
        <f t="shared" si="36"/>
        <v>, L:, E:, S:, TS:</v>
      </c>
      <c r="V270" s="42" t="str">
        <f t="shared" si="37"/>
        <v/>
      </c>
      <c r="W270" s="43">
        <f>IFERROR(VLOOKUP(A270,Esiehdot!A$11:D$15,4,0), 0)</f>
        <v>0</v>
      </c>
      <c r="X270" s="44">
        <f>IF(Esiehdot!D$4&gt;=IFERROR(VLOOKUP(E270,Valintalistat!D$2:H$7,5,0), 99),1,0)</f>
        <v>0</v>
      </c>
      <c r="Y270" s="44">
        <f>IF(Esiehdot!D$5&gt;=IFERROR(VLOOKUP(F270,Valintalistat!E$2:H$5,4,0), 99),1,0)</f>
        <v>0</v>
      </c>
      <c r="Z270" s="44">
        <f>IF(Esiehdot!D$6&gt;=IFERROR(VLOOKUP(G270,Valintalistat!F$2:H$5,3,0),99),1,0)</f>
        <v>0</v>
      </c>
      <c r="AA270" s="44">
        <f>IF(Esiehdot!D$8&gt;=IFERROR(VLOOKUP(H270,Valintalistat!G$2:H$5,2,0),99),1,0)</f>
        <v>0</v>
      </c>
      <c r="AB270" s="43">
        <f t="shared" si="38"/>
        <v>0</v>
      </c>
      <c r="AC270" s="44">
        <f>IF(Esiehdot!E$4=IFERROR(VLOOKUP(E270,Valintalistat!D$2:H$7,5,0),99),1,0)</f>
        <v>0</v>
      </c>
      <c r="AD270" s="44">
        <f>IF(Esiehdot!E$5=IFERROR(VLOOKUP(F270,Valintalistat!E$2:H$5,4,0),99),1,0)</f>
        <v>0</v>
      </c>
      <c r="AE270" s="44">
        <f>IF(Esiehdot!E$6=IFERROR(VLOOKUP(G270,Valintalistat!F$2:H$5,3,0),99),1,0)</f>
        <v>0</v>
      </c>
      <c r="AF270" s="44">
        <f>IF(Esiehdot!E$8=IFERROR(VLOOKUP(H270,Valintalistat!G$2:H$3,2,0),98),1,0)</f>
        <v>0</v>
      </c>
      <c r="AG270" s="43">
        <f t="shared" si="39"/>
        <v>0</v>
      </c>
      <c r="AH270" s="43">
        <f>IFERROR(HLOOKUP(Esiehdot!$B$17,Käyttötapauskriteerit!G$1:P223,270,0),1)</f>
        <v>1</v>
      </c>
      <c r="AI270" s="43">
        <f t="shared" si="40"/>
        <v>0</v>
      </c>
      <c r="AJ270" s="43">
        <f t="shared" si="41"/>
        <v>0</v>
      </c>
      <c r="AK270" s="43">
        <f t="shared" si="42"/>
        <v>0</v>
      </c>
      <c r="AL270" s="43">
        <f t="shared" si="43"/>
        <v>0</v>
      </c>
      <c r="AM270" s="43"/>
      <c r="AN270" s="45" t="str">
        <f t="shared" si="44"/>
        <v/>
      </c>
    </row>
    <row r="271" spans="1:40" ht="15.6">
      <c r="A271" s="5"/>
      <c r="B271" s="5"/>
      <c r="E271" s="17"/>
      <c r="F271" s="17"/>
      <c r="G271" s="17"/>
      <c r="H271" s="17"/>
      <c r="I271" s="17"/>
      <c r="J271" s="17"/>
      <c r="K271" s="17"/>
      <c r="L271" s="32"/>
      <c r="M271" s="61"/>
      <c r="N271" s="23"/>
      <c r="O271" s="23"/>
      <c r="P271" s="9"/>
      <c r="Q271" s="9"/>
      <c r="R271" s="9"/>
      <c r="S271" s="9"/>
      <c r="U271" s="42" t="str">
        <f t="shared" si="36"/>
        <v>, L:, E:, S:, TS:</v>
      </c>
      <c r="V271" s="42" t="str">
        <f t="shared" si="37"/>
        <v/>
      </c>
      <c r="W271" s="43">
        <f>IFERROR(VLOOKUP(A271,Esiehdot!A$11:D$15,4,0), 0)</f>
        <v>0</v>
      </c>
      <c r="X271" s="44">
        <f>IF(Esiehdot!D$4&gt;=IFERROR(VLOOKUP(E271,Valintalistat!D$2:H$7,5,0), 99),1,0)</f>
        <v>0</v>
      </c>
      <c r="Y271" s="44">
        <f>IF(Esiehdot!D$5&gt;=IFERROR(VLOOKUP(F271,Valintalistat!E$2:H$5,4,0), 99),1,0)</f>
        <v>0</v>
      </c>
      <c r="Z271" s="44">
        <f>IF(Esiehdot!D$6&gt;=IFERROR(VLOOKUP(G271,Valintalistat!F$2:H$5,3,0),99),1,0)</f>
        <v>0</v>
      </c>
      <c r="AA271" s="44">
        <f>IF(Esiehdot!D$8&gt;=IFERROR(VLOOKUP(H271,Valintalistat!G$2:H$5,2,0),99),1,0)</f>
        <v>0</v>
      </c>
      <c r="AB271" s="43">
        <f t="shared" si="38"/>
        <v>0</v>
      </c>
      <c r="AC271" s="44">
        <f>IF(Esiehdot!E$4=IFERROR(VLOOKUP(E271,Valintalistat!D$2:H$7,5,0),99),1,0)</f>
        <v>0</v>
      </c>
      <c r="AD271" s="44">
        <f>IF(Esiehdot!E$5=IFERROR(VLOOKUP(F271,Valintalistat!E$2:H$5,4,0),99),1,0)</f>
        <v>0</v>
      </c>
      <c r="AE271" s="44">
        <f>IF(Esiehdot!E$6=IFERROR(VLOOKUP(G271,Valintalistat!F$2:H$5,3,0),99),1,0)</f>
        <v>0</v>
      </c>
      <c r="AF271" s="44">
        <f>IF(Esiehdot!E$8=IFERROR(VLOOKUP(H271,Valintalistat!G$2:H$3,2,0),98),1,0)</f>
        <v>0</v>
      </c>
      <c r="AG271" s="43">
        <f t="shared" si="39"/>
        <v>0</v>
      </c>
      <c r="AH271" s="43">
        <f>IFERROR(HLOOKUP(Esiehdot!$B$17,Käyttötapauskriteerit!G$1:P223,271,0),1)</f>
        <v>1</v>
      </c>
      <c r="AI271" s="43">
        <f t="shared" si="40"/>
        <v>0</v>
      </c>
      <c r="AJ271" s="43">
        <f t="shared" si="41"/>
        <v>0</v>
      </c>
      <c r="AK271" s="43">
        <f t="shared" si="42"/>
        <v>0</v>
      </c>
      <c r="AL271" s="43">
        <f t="shared" si="43"/>
        <v>0</v>
      </c>
      <c r="AM271" s="43"/>
      <c r="AN271" s="45" t="str">
        <f t="shared" si="44"/>
        <v/>
      </c>
    </row>
    <row r="272" spans="1:40" ht="15.6">
      <c r="A272" s="5"/>
      <c r="B272" s="5"/>
      <c r="E272" s="17"/>
      <c r="F272" s="17"/>
      <c r="G272" s="17"/>
      <c r="H272" s="17"/>
      <c r="I272" s="17"/>
      <c r="J272" s="17"/>
      <c r="K272" s="17"/>
      <c r="L272" s="32"/>
      <c r="M272" s="61"/>
      <c r="N272" s="23"/>
      <c r="O272" s="23"/>
      <c r="P272" s="9"/>
      <c r="Q272" s="9"/>
      <c r="R272" s="9"/>
      <c r="S272" s="9"/>
      <c r="U272" s="42" t="str">
        <f t="shared" si="36"/>
        <v>, L:, E:, S:, TS:</v>
      </c>
      <c r="V272" s="42" t="str">
        <f t="shared" si="37"/>
        <v/>
      </c>
      <c r="W272" s="43">
        <f>IFERROR(VLOOKUP(A272,Esiehdot!A$11:D$15,4,0), 0)</f>
        <v>0</v>
      </c>
      <c r="X272" s="44">
        <f>IF(Esiehdot!D$4&gt;=IFERROR(VLOOKUP(E272,Valintalistat!D$2:H$7,5,0), 99),1,0)</f>
        <v>0</v>
      </c>
      <c r="Y272" s="44">
        <f>IF(Esiehdot!D$5&gt;=IFERROR(VLOOKUP(F272,Valintalistat!E$2:H$5,4,0), 99),1,0)</f>
        <v>0</v>
      </c>
      <c r="Z272" s="44">
        <f>IF(Esiehdot!D$6&gt;=IFERROR(VLOOKUP(G272,Valintalistat!F$2:H$5,3,0),99),1,0)</f>
        <v>0</v>
      </c>
      <c r="AA272" s="44">
        <f>IF(Esiehdot!D$8&gt;=IFERROR(VLOOKUP(H272,Valintalistat!G$2:H$5,2,0),99),1,0)</f>
        <v>0</v>
      </c>
      <c r="AB272" s="43">
        <f t="shared" si="38"/>
        <v>0</v>
      </c>
      <c r="AC272" s="44">
        <f>IF(Esiehdot!E$4=IFERROR(VLOOKUP(E272,Valintalistat!D$2:H$7,5,0),99),1,0)</f>
        <v>0</v>
      </c>
      <c r="AD272" s="44">
        <f>IF(Esiehdot!E$5=IFERROR(VLOOKUP(F272,Valintalistat!E$2:H$5,4,0),99),1,0)</f>
        <v>0</v>
      </c>
      <c r="AE272" s="44">
        <f>IF(Esiehdot!E$6=IFERROR(VLOOKUP(G272,Valintalistat!F$2:H$5,3,0),99),1,0)</f>
        <v>0</v>
      </c>
      <c r="AF272" s="44">
        <f>IF(Esiehdot!E$8=IFERROR(VLOOKUP(H272,Valintalistat!G$2:H$3,2,0),98),1,0)</f>
        <v>0</v>
      </c>
      <c r="AG272" s="43">
        <f t="shared" si="39"/>
        <v>0</v>
      </c>
      <c r="AH272" s="43">
        <f>IFERROR(HLOOKUP(Esiehdot!$B$17,Käyttötapauskriteerit!G$1:P223,272,0),1)</f>
        <v>1</v>
      </c>
      <c r="AI272" s="43">
        <f t="shared" si="40"/>
        <v>0</v>
      </c>
      <c r="AJ272" s="43">
        <f t="shared" si="41"/>
        <v>0</v>
      </c>
      <c r="AK272" s="43">
        <f t="shared" si="42"/>
        <v>0</v>
      </c>
      <c r="AL272" s="43">
        <f t="shared" si="43"/>
        <v>0</v>
      </c>
      <c r="AM272" s="43"/>
      <c r="AN272" s="45" t="str">
        <f t="shared" si="44"/>
        <v/>
      </c>
    </row>
    <row r="273" spans="1:40" ht="15.6">
      <c r="A273" s="5"/>
      <c r="B273" s="5"/>
      <c r="E273" s="17"/>
      <c r="F273" s="17"/>
      <c r="G273" s="17"/>
      <c r="H273" s="17"/>
      <c r="I273" s="17"/>
      <c r="J273" s="17"/>
      <c r="K273" s="17"/>
      <c r="L273" s="32"/>
      <c r="M273" s="61"/>
      <c r="N273" s="23"/>
      <c r="O273" s="23"/>
      <c r="P273" s="9"/>
      <c r="Q273" s="9"/>
      <c r="R273" s="9"/>
      <c r="S273" s="9"/>
      <c r="U273" s="42" t="str">
        <f t="shared" si="36"/>
        <v>, L:, E:, S:, TS:</v>
      </c>
      <c r="V273" s="42" t="str">
        <f t="shared" si="37"/>
        <v/>
      </c>
      <c r="W273" s="43">
        <f>IFERROR(VLOOKUP(A273,Esiehdot!A$11:D$15,4,0), 0)</f>
        <v>0</v>
      </c>
      <c r="X273" s="44">
        <f>IF(Esiehdot!D$4&gt;=IFERROR(VLOOKUP(E273,Valintalistat!D$2:H$7,5,0), 99),1,0)</f>
        <v>0</v>
      </c>
      <c r="Y273" s="44">
        <f>IF(Esiehdot!D$5&gt;=IFERROR(VLOOKUP(F273,Valintalistat!E$2:H$5,4,0), 99),1,0)</f>
        <v>0</v>
      </c>
      <c r="Z273" s="44">
        <f>IF(Esiehdot!D$6&gt;=IFERROR(VLOOKUP(G273,Valintalistat!F$2:H$5,3,0),99),1,0)</f>
        <v>0</v>
      </c>
      <c r="AA273" s="44">
        <f>IF(Esiehdot!D$8&gt;=IFERROR(VLOOKUP(H273,Valintalistat!G$2:H$5,2,0),99),1,0)</f>
        <v>0</v>
      </c>
      <c r="AB273" s="43">
        <f t="shared" si="38"/>
        <v>0</v>
      </c>
      <c r="AC273" s="44">
        <f>IF(Esiehdot!E$4=IFERROR(VLOOKUP(E273,Valintalistat!D$2:H$7,5,0),99),1,0)</f>
        <v>0</v>
      </c>
      <c r="AD273" s="44">
        <f>IF(Esiehdot!E$5=IFERROR(VLOOKUP(F273,Valintalistat!E$2:H$5,4,0),99),1,0)</f>
        <v>0</v>
      </c>
      <c r="AE273" s="44">
        <f>IF(Esiehdot!E$6=IFERROR(VLOOKUP(G273,Valintalistat!F$2:H$5,3,0),99),1,0)</f>
        <v>0</v>
      </c>
      <c r="AF273" s="44">
        <f>IF(Esiehdot!E$8=IFERROR(VLOOKUP(H273,Valintalistat!G$2:H$3,2,0),98),1,0)</f>
        <v>0</v>
      </c>
      <c r="AG273" s="43">
        <f t="shared" si="39"/>
        <v>0</v>
      </c>
      <c r="AH273" s="43">
        <f>IFERROR(HLOOKUP(Esiehdot!$B$17,Käyttötapauskriteerit!G$1:P223,273,0),1)</f>
        <v>1</v>
      </c>
      <c r="AI273" s="43">
        <f t="shared" si="40"/>
        <v>0</v>
      </c>
      <c r="AJ273" s="43">
        <f t="shared" si="41"/>
        <v>0</v>
      </c>
      <c r="AK273" s="43">
        <f t="shared" si="42"/>
        <v>0</v>
      </c>
      <c r="AL273" s="43">
        <f t="shared" si="43"/>
        <v>0</v>
      </c>
      <c r="AM273" s="43"/>
      <c r="AN273" s="45" t="str">
        <f t="shared" si="44"/>
        <v/>
      </c>
    </row>
    <row r="274" spans="1:40" ht="15.6">
      <c r="A274" s="5"/>
      <c r="B274" s="5"/>
      <c r="E274" s="17"/>
      <c r="F274" s="17"/>
      <c r="G274" s="17"/>
      <c r="H274" s="17"/>
      <c r="I274" s="17"/>
      <c r="J274" s="17"/>
      <c r="K274" s="17"/>
      <c r="L274" s="32"/>
      <c r="M274" s="61"/>
      <c r="N274" s="23"/>
      <c r="O274" s="23"/>
      <c r="P274" s="9"/>
      <c r="Q274" s="9"/>
      <c r="R274" s="9"/>
      <c r="S274" s="9"/>
      <c r="U274" s="42" t="str">
        <f t="shared" si="36"/>
        <v>, L:, E:, S:, TS:</v>
      </c>
      <c r="V274" s="42" t="str">
        <f t="shared" si="37"/>
        <v/>
      </c>
      <c r="W274" s="43">
        <f>IFERROR(VLOOKUP(A274,Esiehdot!A$11:D$15,4,0), 0)</f>
        <v>0</v>
      </c>
      <c r="X274" s="44">
        <f>IF(Esiehdot!D$4&gt;=IFERROR(VLOOKUP(E274,Valintalistat!D$2:H$7,5,0), 99),1,0)</f>
        <v>0</v>
      </c>
      <c r="Y274" s="44">
        <f>IF(Esiehdot!D$5&gt;=IFERROR(VLOOKUP(F274,Valintalistat!E$2:H$5,4,0), 99),1,0)</f>
        <v>0</v>
      </c>
      <c r="Z274" s="44">
        <f>IF(Esiehdot!D$6&gt;=IFERROR(VLOOKUP(G274,Valintalistat!F$2:H$5,3,0),99),1,0)</f>
        <v>0</v>
      </c>
      <c r="AA274" s="44">
        <f>IF(Esiehdot!D$8&gt;=IFERROR(VLOOKUP(H274,Valintalistat!G$2:H$5,2,0),99),1,0)</f>
        <v>0</v>
      </c>
      <c r="AB274" s="43">
        <f t="shared" si="38"/>
        <v>0</v>
      </c>
      <c r="AC274" s="44">
        <f>IF(Esiehdot!E$4=IFERROR(VLOOKUP(E274,Valintalistat!D$2:H$7,5,0),99),1,0)</f>
        <v>0</v>
      </c>
      <c r="AD274" s="44">
        <f>IF(Esiehdot!E$5=IFERROR(VLOOKUP(F274,Valintalistat!E$2:H$5,4,0),99),1,0)</f>
        <v>0</v>
      </c>
      <c r="AE274" s="44">
        <f>IF(Esiehdot!E$6=IFERROR(VLOOKUP(G274,Valintalistat!F$2:H$5,3,0),99),1,0)</f>
        <v>0</v>
      </c>
      <c r="AF274" s="44">
        <f>IF(Esiehdot!E$8=IFERROR(VLOOKUP(H274,Valintalistat!G$2:H$3,2,0),98),1,0)</f>
        <v>0</v>
      </c>
      <c r="AG274" s="43">
        <f t="shared" si="39"/>
        <v>0</v>
      </c>
      <c r="AH274" s="43">
        <f>IFERROR(HLOOKUP(Esiehdot!$B$17,Käyttötapauskriteerit!G$1:P223,274,0),1)</f>
        <v>1</v>
      </c>
      <c r="AI274" s="43">
        <f t="shared" si="40"/>
        <v>0</v>
      </c>
      <c r="AJ274" s="43">
        <f t="shared" si="41"/>
        <v>0</v>
      </c>
      <c r="AK274" s="43">
        <f t="shared" si="42"/>
        <v>0</v>
      </c>
      <c r="AL274" s="43">
        <f t="shared" si="43"/>
        <v>0</v>
      </c>
      <c r="AM274" s="43"/>
      <c r="AN274" s="45" t="str">
        <f t="shared" si="44"/>
        <v/>
      </c>
    </row>
    <row r="275" spans="1:40" ht="15.6">
      <c r="A275" s="5"/>
      <c r="B275" s="5"/>
      <c r="E275" s="17"/>
      <c r="F275" s="17"/>
      <c r="G275" s="17"/>
      <c r="H275" s="17"/>
      <c r="I275" s="17"/>
      <c r="J275" s="17"/>
      <c r="K275" s="17"/>
      <c r="L275" s="32"/>
      <c r="M275" s="61"/>
      <c r="N275" s="23"/>
      <c r="O275" s="23"/>
      <c r="P275" s="9"/>
      <c r="Q275" s="9"/>
      <c r="R275" s="9"/>
      <c r="S275" s="9"/>
      <c r="U275" s="42" t="str">
        <f t="shared" si="36"/>
        <v>, L:, E:, S:, TS:</v>
      </c>
      <c r="V275" s="42" t="str">
        <f t="shared" si="37"/>
        <v/>
      </c>
      <c r="W275" s="43">
        <f>IFERROR(VLOOKUP(A275,Esiehdot!A$11:D$15,4,0), 0)</f>
        <v>0</v>
      </c>
      <c r="X275" s="44">
        <f>IF(Esiehdot!D$4&gt;=IFERROR(VLOOKUP(E275,Valintalistat!D$2:H$7,5,0), 99),1,0)</f>
        <v>0</v>
      </c>
      <c r="Y275" s="44">
        <f>IF(Esiehdot!D$5&gt;=IFERROR(VLOOKUP(F275,Valintalistat!E$2:H$5,4,0), 99),1,0)</f>
        <v>0</v>
      </c>
      <c r="Z275" s="44">
        <f>IF(Esiehdot!D$6&gt;=IFERROR(VLOOKUP(G275,Valintalistat!F$2:H$5,3,0),99),1,0)</f>
        <v>0</v>
      </c>
      <c r="AA275" s="44">
        <f>IF(Esiehdot!D$8&gt;=IFERROR(VLOOKUP(H275,Valintalistat!G$2:H$5,2,0),99),1,0)</f>
        <v>0</v>
      </c>
      <c r="AB275" s="43">
        <f t="shared" si="38"/>
        <v>0</v>
      </c>
      <c r="AC275" s="44">
        <f>IF(Esiehdot!E$4=IFERROR(VLOOKUP(E275,Valintalistat!D$2:H$7,5,0),99),1,0)</f>
        <v>0</v>
      </c>
      <c r="AD275" s="44">
        <f>IF(Esiehdot!E$5=IFERROR(VLOOKUP(F275,Valintalistat!E$2:H$5,4,0),99),1,0)</f>
        <v>0</v>
      </c>
      <c r="AE275" s="44">
        <f>IF(Esiehdot!E$6=IFERROR(VLOOKUP(G275,Valintalistat!F$2:H$5,3,0),99),1,0)</f>
        <v>0</v>
      </c>
      <c r="AF275" s="44">
        <f>IF(Esiehdot!E$8=IFERROR(VLOOKUP(H275,Valintalistat!G$2:H$3,2,0),98),1,0)</f>
        <v>0</v>
      </c>
      <c r="AG275" s="43">
        <f t="shared" si="39"/>
        <v>0</v>
      </c>
      <c r="AH275" s="43">
        <f>IFERROR(HLOOKUP(Esiehdot!$B$17,Käyttötapauskriteerit!G$1:P223,275,0),1)</f>
        <v>1</v>
      </c>
      <c r="AI275" s="43">
        <f t="shared" si="40"/>
        <v>0</v>
      </c>
      <c r="AJ275" s="43">
        <f t="shared" si="41"/>
        <v>0</v>
      </c>
      <c r="AK275" s="43">
        <f t="shared" si="42"/>
        <v>0</v>
      </c>
      <c r="AL275" s="43">
        <f t="shared" si="43"/>
        <v>0</v>
      </c>
      <c r="AM275" s="43"/>
      <c r="AN275" s="45" t="str">
        <f t="shared" si="44"/>
        <v/>
      </c>
    </row>
    <row r="276" spans="1:40" ht="15.6">
      <c r="A276" s="5"/>
      <c r="B276" s="5"/>
      <c r="E276" s="17"/>
      <c r="F276" s="17"/>
      <c r="G276" s="17"/>
      <c r="H276" s="17"/>
      <c r="I276" s="17"/>
      <c r="J276" s="17"/>
      <c r="K276" s="17"/>
      <c r="L276" s="32"/>
      <c r="M276" s="61"/>
      <c r="N276" s="23"/>
      <c r="O276" s="23"/>
      <c r="P276" s="9"/>
      <c r="Q276" s="9"/>
      <c r="R276" s="9"/>
      <c r="S276" s="9"/>
      <c r="U276" s="42" t="str">
        <f t="shared" si="36"/>
        <v>, L:, E:, S:, TS:</v>
      </c>
      <c r="V276" s="42" t="str">
        <f t="shared" si="37"/>
        <v/>
      </c>
      <c r="W276" s="43">
        <f>IFERROR(VLOOKUP(A276,Esiehdot!A$11:D$15,4,0), 0)</f>
        <v>0</v>
      </c>
      <c r="X276" s="44">
        <f>IF(Esiehdot!D$4&gt;=IFERROR(VLOOKUP(E276,Valintalistat!D$2:H$7,5,0), 99),1,0)</f>
        <v>0</v>
      </c>
      <c r="Y276" s="44">
        <f>IF(Esiehdot!D$5&gt;=IFERROR(VLOOKUP(F276,Valintalistat!E$2:H$5,4,0), 99),1,0)</f>
        <v>0</v>
      </c>
      <c r="Z276" s="44">
        <f>IF(Esiehdot!D$6&gt;=IFERROR(VLOOKUP(G276,Valintalistat!F$2:H$5,3,0),99),1,0)</f>
        <v>0</v>
      </c>
      <c r="AA276" s="44">
        <f>IF(Esiehdot!D$8&gt;=IFERROR(VLOOKUP(H276,Valintalistat!G$2:H$5,2,0),99),1,0)</f>
        <v>0</v>
      </c>
      <c r="AB276" s="43">
        <f t="shared" si="38"/>
        <v>0</v>
      </c>
      <c r="AC276" s="44">
        <f>IF(Esiehdot!E$4=IFERROR(VLOOKUP(E276,Valintalistat!D$2:H$7,5,0),99),1,0)</f>
        <v>0</v>
      </c>
      <c r="AD276" s="44">
        <f>IF(Esiehdot!E$5=IFERROR(VLOOKUP(F276,Valintalistat!E$2:H$5,4,0),99),1,0)</f>
        <v>0</v>
      </c>
      <c r="AE276" s="44">
        <f>IF(Esiehdot!E$6=IFERROR(VLOOKUP(G276,Valintalistat!F$2:H$5,3,0),99),1,0)</f>
        <v>0</v>
      </c>
      <c r="AF276" s="44">
        <f>IF(Esiehdot!E$8=IFERROR(VLOOKUP(H276,Valintalistat!G$2:H$3,2,0),98),1,0)</f>
        <v>0</v>
      </c>
      <c r="AG276" s="43">
        <f t="shared" si="39"/>
        <v>0</v>
      </c>
      <c r="AH276" s="43">
        <f>IFERROR(HLOOKUP(Esiehdot!$B$17,Käyttötapauskriteerit!G$1:P223,276,0),1)</f>
        <v>1</v>
      </c>
      <c r="AI276" s="43">
        <f t="shared" si="40"/>
        <v>0</v>
      </c>
      <c r="AJ276" s="43">
        <f t="shared" si="41"/>
        <v>0</v>
      </c>
      <c r="AK276" s="43">
        <f t="shared" si="42"/>
        <v>0</v>
      </c>
      <c r="AL276" s="43">
        <f t="shared" si="43"/>
        <v>0</v>
      </c>
      <c r="AM276" s="43"/>
      <c r="AN276" s="45" t="str">
        <f t="shared" si="44"/>
        <v/>
      </c>
    </row>
    <row r="277" spans="1:40" ht="15.6">
      <c r="A277" s="5"/>
      <c r="B277" s="5"/>
      <c r="E277" s="17"/>
      <c r="F277" s="17"/>
      <c r="G277" s="17"/>
      <c r="H277" s="17"/>
      <c r="I277" s="17"/>
      <c r="J277" s="17"/>
      <c r="K277" s="17"/>
      <c r="L277" s="32"/>
      <c r="M277" s="61"/>
      <c r="N277" s="23"/>
      <c r="O277" s="23"/>
      <c r="P277" s="9"/>
      <c r="Q277" s="9"/>
      <c r="R277" s="9"/>
      <c r="S277" s="9"/>
      <c r="U277" s="42" t="str">
        <f t="shared" si="36"/>
        <v>, L:, E:, S:, TS:</v>
      </c>
      <c r="V277" s="42" t="str">
        <f t="shared" si="37"/>
        <v/>
      </c>
      <c r="W277" s="43">
        <f>IFERROR(VLOOKUP(A277,Esiehdot!A$11:D$15,4,0), 0)</f>
        <v>0</v>
      </c>
      <c r="X277" s="44">
        <f>IF(Esiehdot!D$4&gt;=IFERROR(VLOOKUP(E277,Valintalistat!D$2:H$7,5,0), 99),1,0)</f>
        <v>0</v>
      </c>
      <c r="Y277" s="44">
        <f>IF(Esiehdot!D$5&gt;=IFERROR(VLOOKUP(F277,Valintalistat!E$2:H$5,4,0), 99),1,0)</f>
        <v>0</v>
      </c>
      <c r="Z277" s="44">
        <f>IF(Esiehdot!D$6&gt;=IFERROR(VLOOKUP(G277,Valintalistat!F$2:H$5,3,0),99),1,0)</f>
        <v>0</v>
      </c>
      <c r="AA277" s="44">
        <f>IF(Esiehdot!D$8&gt;=IFERROR(VLOOKUP(H277,Valintalistat!G$2:H$5,2,0),99),1,0)</f>
        <v>0</v>
      </c>
      <c r="AB277" s="43">
        <f t="shared" si="38"/>
        <v>0</v>
      </c>
      <c r="AC277" s="44">
        <f>IF(Esiehdot!E$4=IFERROR(VLOOKUP(E277,Valintalistat!D$2:H$7,5,0),99),1,0)</f>
        <v>0</v>
      </c>
      <c r="AD277" s="44">
        <f>IF(Esiehdot!E$5=IFERROR(VLOOKUP(F277,Valintalistat!E$2:H$5,4,0),99),1,0)</f>
        <v>0</v>
      </c>
      <c r="AE277" s="44">
        <f>IF(Esiehdot!E$6=IFERROR(VLOOKUP(G277,Valintalistat!F$2:H$5,3,0),99),1,0)</f>
        <v>0</v>
      </c>
      <c r="AF277" s="44">
        <f>IF(Esiehdot!E$8=IFERROR(VLOOKUP(H277,Valintalistat!G$2:H$3,2,0),98),1,0)</f>
        <v>0</v>
      </c>
      <c r="AG277" s="43">
        <f t="shared" si="39"/>
        <v>0</v>
      </c>
      <c r="AH277" s="43">
        <f>IFERROR(HLOOKUP(Esiehdot!$B$17,Käyttötapauskriteerit!G$1:P223,277,0),1)</f>
        <v>1</v>
      </c>
      <c r="AI277" s="43">
        <f t="shared" si="40"/>
        <v>0</v>
      </c>
      <c r="AJ277" s="43">
        <f t="shared" si="41"/>
        <v>0</v>
      </c>
      <c r="AK277" s="43">
        <f t="shared" si="42"/>
        <v>0</v>
      </c>
      <c r="AL277" s="43">
        <f t="shared" si="43"/>
        <v>0</v>
      </c>
      <c r="AM277" s="43"/>
      <c r="AN277" s="45" t="str">
        <f t="shared" si="44"/>
        <v/>
      </c>
    </row>
    <row r="278" spans="1:40" ht="15.6">
      <c r="A278" s="5"/>
      <c r="B278" s="5"/>
      <c r="E278" s="17"/>
      <c r="F278" s="17"/>
      <c r="G278" s="17"/>
      <c r="H278" s="17"/>
      <c r="I278" s="17"/>
      <c r="J278" s="17"/>
      <c r="K278" s="17"/>
      <c r="L278" s="32"/>
      <c r="M278" s="61"/>
      <c r="N278" s="23"/>
      <c r="O278" s="23"/>
      <c r="P278" s="9"/>
      <c r="Q278" s="9"/>
      <c r="R278" s="9"/>
      <c r="S278" s="9"/>
      <c r="U278" s="42" t="str">
        <f t="shared" si="36"/>
        <v>, L:, E:, S:, TS:</v>
      </c>
      <c r="V278" s="42" t="str">
        <f t="shared" si="37"/>
        <v/>
      </c>
      <c r="W278" s="43">
        <f>IFERROR(VLOOKUP(A278,Esiehdot!A$11:D$15,4,0), 0)</f>
        <v>0</v>
      </c>
      <c r="X278" s="44">
        <f>IF(Esiehdot!D$4&gt;=IFERROR(VLOOKUP(E278,Valintalistat!D$2:H$7,5,0), 99),1,0)</f>
        <v>0</v>
      </c>
      <c r="Y278" s="44">
        <f>IF(Esiehdot!D$5&gt;=IFERROR(VLOOKUP(F278,Valintalistat!E$2:H$5,4,0), 99),1,0)</f>
        <v>0</v>
      </c>
      <c r="Z278" s="44">
        <f>IF(Esiehdot!D$6&gt;=IFERROR(VLOOKUP(G278,Valintalistat!F$2:H$5,3,0),99),1,0)</f>
        <v>0</v>
      </c>
      <c r="AA278" s="44">
        <f>IF(Esiehdot!D$8&gt;=IFERROR(VLOOKUP(H278,Valintalistat!G$2:H$5,2,0),99),1,0)</f>
        <v>0</v>
      </c>
      <c r="AB278" s="43">
        <f t="shared" si="38"/>
        <v>0</v>
      </c>
      <c r="AC278" s="44">
        <f>IF(Esiehdot!E$4=IFERROR(VLOOKUP(E278,Valintalistat!D$2:H$7,5,0),99),1,0)</f>
        <v>0</v>
      </c>
      <c r="AD278" s="44">
        <f>IF(Esiehdot!E$5=IFERROR(VLOOKUP(F278,Valintalistat!E$2:H$5,4,0),99),1,0)</f>
        <v>0</v>
      </c>
      <c r="AE278" s="44">
        <f>IF(Esiehdot!E$6=IFERROR(VLOOKUP(G278,Valintalistat!F$2:H$5,3,0),99),1,0)</f>
        <v>0</v>
      </c>
      <c r="AF278" s="44">
        <f>IF(Esiehdot!E$8=IFERROR(VLOOKUP(H278,Valintalistat!G$2:H$3,2,0),98),1,0)</f>
        <v>0</v>
      </c>
      <c r="AG278" s="43">
        <f t="shared" si="39"/>
        <v>0</v>
      </c>
      <c r="AH278" s="43">
        <f>IFERROR(HLOOKUP(Esiehdot!$B$17,Käyttötapauskriteerit!G$1:P223,278,0),1)</f>
        <v>1</v>
      </c>
      <c r="AI278" s="43">
        <f t="shared" si="40"/>
        <v>0</v>
      </c>
      <c r="AJ278" s="43">
        <f t="shared" si="41"/>
        <v>0</v>
      </c>
      <c r="AK278" s="43">
        <f t="shared" si="42"/>
        <v>0</v>
      </c>
      <c r="AL278" s="43">
        <f t="shared" si="43"/>
        <v>0</v>
      </c>
      <c r="AM278" s="43"/>
      <c r="AN278" s="45" t="str">
        <f t="shared" si="44"/>
        <v/>
      </c>
    </row>
    <row r="279" spans="1:40" ht="15.6">
      <c r="A279" s="5"/>
      <c r="B279" s="5"/>
      <c r="E279" s="17"/>
      <c r="F279" s="17"/>
      <c r="G279" s="17"/>
      <c r="H279" s="17"/>
      <c r="I279" s="17"/>
      <c r="J279" s="17"/>
      <c r="K279" s="17"/>
      <c r="L279" s="32"/>
      <c r="M279" s="61"/>
      <c r="N279" s="23"/>
      <c r="O279" s="23"/>
      <c r="P279" s="9"/>
      <c r="Q279" s="9"/>
      <c r="R279" s="9"/>
      <c r="S279" s="9"/>
      <c r="U279" s="42" t="str">
        <f t="shared" si="36"/>
        <v>, L:, E:, S:, TS:</v>
      </c>
      <c r="V279" s="42" t="str">
        <f t="shared" si="37"/>
        <v/>
      </c>
      <c r="W279" s="43">
        <f>IFERROR(VLOOKUP(A279,Esiehdot!A$11:D$15,4,0), 0)</f>
        <v>0</v>
      </c>
      <c r="X279" s="44">
        <f>IF(Esiehdot!D$4&gt;=IFERROR(VLOOKUP(E279,Valintalistat!D$2:H$7,5,0), 99),1,0)</f>
        <v>0</v>
      </c>
      <c r="Y279" s="44">
        <f>IF(Esiehdot!D$5&gt;=IFERROR(VLOOKUP(F279,Valintalistat!E$2:H$5,4,0), 99),1,0)</f>
        <v>0</v>
      </c>
      <c r="Z279" s="44">
        <f>IF(Esiehdot!D$6&gt;=IFERROR(VLOOKUP(G279,Valintalistat!F$2:H$5,3,0),99),1,0)</f>
        <v>0</v>
      </c>
      <c r="AA279" s="44">
        <f>IF(Esiehdot!D$8&gt;=IFERROR(VLOOKUP(H279,Valintalistat!G$2:H$5,2,0),99),1,0)</f>
        <v>0</v>
      </c>
      <c r="AB279" s="43">
        <f t="shared" si="38"/>
        <v>0</v>
      </c>
      <c r="AC279" s="44">
        <f>IF(Esiehdot!E$4=IFERROR(VLOOKUP(E279,Valintalistat!D$2:H$7,5,0),99),1,0)</f>
        <v>0</v>
      </c>
      <c r="AD279" s="44">
        <f>IF(Esiehdot!E$5=IFERROR(VLOOKUP(F279,Valintalistat!E$2:H$5,4,0),99),1,0)</f>
        <v>0</v>
      </c>
      <c r="AE279" s="44">
        <f>IF(Esiehdot!E$6=IFERROR(VLOOKUP(G279,Valintalistat!F$2:H$5,3,0),99),1,0)</f>
        <v>0</v>
      </c>
      <c r="AF279" s="44">
        <f>IF(Esiehdot!E$8=IFERROR(VLOOKUP(H279,Valintalistat!G$2:H$3,2,0),98),1,0)</f>
        <v>0</v>
      </c>
      <c r="AG279" s="43">
        <f t="shared" si="39"/>
        <v>0</v>
      </c>
      <c r="AH279" s="43">
        <f>IFERROR(HLOOKUP(Esiehdot!$B$17,Käyttötapauskriteerit!G$1:P223,279,0),1)</f>
        <v>1</v>
      </c>
      <c r="AI279" s="43">
        <f t="shared" si="40"/>
        <v>0</v>
      </c>
      <c r="AJ279" s="43">
        <f t="shared" si="41"/>
        <v>0</v>
      </c>
      <c r="AK279" s="43">
        <f t="shared" si="42"/>
        <v>0</v>
      </c>
      <c r="AL279" s="43">
        <f t="shared" si="43"/>
        <v>0</v>
      </c>
      <c r="AM279" s="43"/>
      <c r="AN279" s="45" t="str">
        <f t="shared" si="44"/>
        <v/>
      </c>
    </row>
    <row r="280" spans="1:40" ht="15.6">
      <c r="A280" s="5"/>
      <c r="B280" s="5"/>
      <c r="E280" s="17"/>
      <c r="F280" s="17"/>
      <c r="G280" s="17"/>
      <c r="H280" s="17"/>
      <c r="I280" s="17"/>
      <c r="J280" s="17"/>
      <c r="K280" s="17"/>
      <c r="L280" s="32"/>
      <c r="M280" s="61"/>
      <c r="N280" s="23"/>
      <c r="O280" s="23"/>
      <c r="P280" s="9"/>
      <c r="Q280" s="9"/>
      <c r="R280" s="9"/>
      <c r="S280" s="9"/>
      <c r="U280" s="42" t="str">
        <f t="shared" si="36"/>
        <v>, L:, E:, S:, TS:</v>
      </c>
      <c r="V280" s="42" t="str">
        <f t="shared" si="37"/>
        <v/>
      </c>
      <c r="W280" s="43">
        <f>IFERROR(VLOOKUP(A280,Esiehdot!A$11:D$15,4,0), 0)</f>
        <v>0</v>
      </c>
      <c r="X280" s="44">
        <f>IF(Esiehdot!D$4&gt;=IFERROR(VLOOKUP(E280,Valintalistat!D$2:H$7,5,0), 99),1,0)</f>
        <v>0</v>
      </c>
      <c r="Y280" s="44">
        <f>IF(Esiehdot!D$5&gt;=IFERROR(VLOOKUP(F280,Valintalistat!E$2:H$5,4,0), 99),1,0)</f>
        <v>0</v>
      </c>
      <c r="Z280" s="44">
        <f>IF(Esiehdot!D$6&gt;=IFERROR(VLOOKUP(G280,Valintalistat!F$2:H$5,3,0),99),1,0)</f>
        <v>0</v>
      </c>
      <c r="AA280" s="44">
        <f>IF(Esiehdot!D$8&gt;=IFERROR(VLOOKUP(H280,Valintalistat!G$2:H$5,2,0),99),1,0)</f>
        <v>0</v>
      </c>
      <c r="AB280" s="43">
        <f t="shared" si="38"/>
        <v>0</v>
      </c>
      <c r="AC280" s="44">
        <f>IF(Esiehdot!E$4=IFERROR(VLOOKUP(E280,Valintalistat!D$2:H$7,5,0),99),1,0)</f>
        <v>0</v>
      </c>
      <c r="AD280" s="44">
        <f>IF(Esiehdot!E$5=IFERROR(VLOOKUP(F280,Valintalistat!E$2:H$5,4,0),99),1,0)</f>
        <v>0</v>
      </c>
      <c r="AE280" s="44">
        <f>IF(Esiehdot!E$6=IFERROR(VLOOKUP(G280,Valintalistat!F$2:H$5,3,0),99),1,0)</f>
        <v>0</v>
      </c>
      <c r="AF280" s="44">
        <f>IF(Esiehdot!E$8=IFERROR(VLOOKUP(H280,Valintalistat!G$2:H$3,2,0),98),1,0)</f>
        <v>0</v>
      </c>
      <c r="AG280" s="43">
        <f t="shared" si="39"/>
        <v>0</v>
      </c>
      <c r="AH280" s="43">
        <f>IFERROR(HLOOKUP(Esiehdot!$B$17,Käyttötapauskriteerit!G$1:P223,280,0),1)</f>
        <v>1</v>
      </c>
      <c r="AI280" s="43">
        <f t="shared" si="40"/>
        <v>0</v>
      </c>
      <c r="AJ280" s="43">
        <f t="shared" si="41"/>
        <v>0</v>
      </c>
      <c r="AK280" s="43">
        <f t="shared" si="42"/>
        <v>0</v>
      </c>
      <c r="AL280" s="43">
        <f t="shared" si="43"/>
        <v>0</v>
      </c>
      <c r="AM280" s="43"/>
      <c r="AN280" s="45" t="str">
        <f t="shared" si="44"/>
        <v/>
      </c>
    </row>
    <row r="281" spans="1:40" ht="15.6">
      <c r="A281" s="5"/>
      <c r="B281" s="5"/>
      <c r="E281" s="17"/>
      <c r="F281" s="17"/>
      <c r="G281" s="17"/>
      <c r="H281" s="17"/>
      <c r="I281" s="17"/>
      <c r="J281" s="17"/>
      <c r="K281" s="17"/>
      <c r="L281" s="32"/>
      <c r="M281" s="61"/>
      <c r="N281" s="23"/>
      <c r="O281" s="23"/>
      <c r="P281" s="9"/>
      <c r="Q281" s="9"/>
      <c r="R281" s="9"/>
      <c r="S281" s="9"/>
      <c r="U281" s="42" t="str">
        <f t="shared" si="36"/>
        <v>, L:, E:, S:, TS:</v>
      </c>
      <c r="V281" s="42" t="str">
        <f t="shared" si="37"/>
        <v/>
      </c>
      <c r="W281" s="43">
        <f>IFERROR(VLOOKUP(A281,Esiehdot!A$11:D$15,4,0), 0)</f>
        <v>0</v>
      </c>
      <c r="X281" s="44">
        <f>IF(Esiehdot!D$4&gt;=IFERROR(VLOOKUP(E281,Valintalistat!D$2:H$7,5,0), 99),1,0)</f>
        <v>0</v>
      </c>
      <c r="Y281" s="44">
        <f>IF(Esiehdot!D$5&gt;=IFERROR(VLOOKUP(F281,Valintalistat!E$2:H$5,4,0), 99),1,0)</f>
        <v>0</v>
      </c>
      <c r="Z281" s="44">
        <f>IF(Esiehdot!D$6&gt;=IFERROR(VLOOKUP(G281,Valintalistat!F$2:H$5,3,0),99),1,0)</f>
        <v>0</v>
      </c>
      <c r="AA281" s="44">
        <f>IF(Esiehdot!D$8&gt;=IFERROR(VLOOKUP(H281,Valintalistat!G$2:H$5,2,0),99),1,0)</f>
        <v>0</v>
      </c>
      <c r="AB281" s="43">
        <f t="shared" si="38"/>
        <v>0</v>
      </c>
      <c r="AC281" s="44">
        <f>IF(Esiehdot!E$4=IFERROR(VLOOKUP(E281,Valintalistat!D$2:H$7,5,0),99),1,0)</f>
        <v>0</v>
      </c>
      <c r="AD281" s="44">
        <f>IF(Esiehdot!E$5=IFERROR(VLOOKUP(F281,Valintalistat!E$2:H$5,4,0),99),1,0)</f>
        <v>0</v>
      </c>
      <c r="AE281" s="44">
        <f>IF(Esiehdot!E$6=IFERROR(VLOOKUP(G281,Valintalistat!F$2:H$5,3,0),99),1,0)</f>
        <v>0</v>
      </c>
      <c r="AF281" s="44">
        <f>IF(Esiehdot!E$8=IFERROR(VLOOKUP(H281,Valintalistat!G$2:H$3,2,0),98),1,0)</f>
        <v>0</v>
      </c>
      <c r="AG281" s="43">
        <f t="shared" si="39"/>
        <v>0</v>
      </c>
      <c r="AH281" s="43">
        <f>IFERROR(HLOOKUP(Esiehdot!$B$17,Käyttötapauskriteerit!G$1:P223,281,0),1)</f>
        <v>1</v>
      </c>
      <c r="AI281" s="43">
        <f t="shared" si="40"/>
        <v>0</v>
      </c>
      <c r="AJ281" s="43">
        <f t="shared" si="41"/>
        <v>0</v>
      </c>
      <c r="AK281" s="43">
        <f t="shared" si="42"/>
        <v>0</v>
      </c>
      <c r="AL281" s="43">
        <f t="shared" si="43"/>
        <v>0</v>
      </c>
      <c r="AM281" s="43"/>
      <c r="AN281" s="45" t="str">
        <f t="shared" si="44"/>
        <v/>
      </c>
    </row>
    <row r="282" spans="1:40" ht="15.6">
      <c r="A282" s="5"/>
      <c r="B282" s="5"/>
      <c r="E282" s="17"/>
      <c r="F282" s="17"/>
      <c r="G282" s="17"/>
      <c r="H282" s="17"/>
      <c r="I282" s="17"/>
      <c r="J282" s="17"/>
      <c r="K282" s="17"/>
      <c r="L282" s="32"/>
      <c r="M282" s="61"/>
      <c r="N282" s="23"/>
      <c r="O282" s="23"/>
      <c r="P282" s="9"/>
      <c r="Q282" s="9"/>
      <c r="R282" s="9"/>
      <c r="S282" s="9"/>
      <c r="U282" s="42" t="str">
        <f t="shared" si="36"/>
        <v>, L:, E:, S:, TS:</v>
      </c>
      <c r="V282" s="42" t="str">
        <f t="shared" si="37"/>
        <v/>
      </c>
      <c r="W282" s="43">
        <f>IFERROR(VLOOKUP(A282,Esiehdot!A$11:D$15,4,0), 0)</f>
        <v>0</v>
      </c>
      <c r="X282" s="44">
        <f>IF(Esiehdot!D$4&gt;=IFERROR(VLOOKUP(E282,Valintalistat!D$2:H$7,5,0), 99),1,0)</f>
        <v>0</v>
      </c>
      <c r="Y282" s="44">
        <f>IF(Esiehdot!D$5&gt;=IFERROR(VLOOKUP(F282,Valintalistat!E$2:H$5,4,0), 99),1,0)</f>
        <v>0</v>
      </c>
      <c r="Z282" s="44">
        <f>IF(Esiehdot!D$6&gt;=IFERROR(VLOOKUP(G282,Valintalistat!F$2:H$5,3,0),99),1,0)</f>
        <v>0</v>
      </c>
      <c r="AA282" s="44">
        <f>IF(Esiehdot!D$8&gt;=IFERROR(VLOOKUP(H282,Valintalistat!G$2:H$5,2,0),99),1,0)</f>
        <v>0</v>
      </c>
      <c r="AB282" s="43">
        <f t="shared" si="38"/>
        <v>0</v>
      </c>
      <c r="AC282" s="44">
        <f>IF(Esiehdot!E$4=IFERROR(VLOOKUP(E282,Valintalistat!D$2:H$7,5,0),99),1,0)</f>
        <v>0</v>
      </c>
      <c r="AD282" s="44">
        <f>IF(Esiehdot!E$5=IFERROR(VLOOKUP(F282,Valintalistat!E$2:H$5,4,0),99),1,0)</f>
        <v>0</v>
      </c>
      <c r="AE282" s="44">
        <f>IF(Esiehdot!E$6=IFERROR(VLOOKUP(G282,Valintalistat!F$2:H$5,3,0),99),1,0)</f>
        <v>0</v>
      </c>
      <c r="AF282" s="44">
        <f>IF(Esiehdot!E$8=IFERROR(VLOOKUP(H282,Valintalistat!G$2:H$3,2,0),98),1,0)</f>
        <v>0</v>
      </c>
      <c r="AG282" s="43">
        <f t="shared" si="39"/>
        <v>0</v>
      </c>
      <c r="AH282" s="43">
        <f>IFERROR(HLOOKUP(Esiehdot!$B$17,Käyttötapauskriteerit!G$1:P223,282,0),1)</f>
        <v>1</v>
      </c>
      <c r="AI282" s="43">
        <f t="shared" si="40"/>
        <v>0</v>
      </c>
      <c r="AJ282" s="43">
        <f t="shared" si="41"/>
        <v>0</v>
      </c>
      <c r="AK282" s="43">
        <f t="shared" si="42"/>
        <v>0</v>
      </c>
      <c r="AL282" s="43">
        <f t="shared" si="43"/>
        <v>0</v>
      </c>
      <c r="AM282" s="43"/>
      <c r="AN282" s="45" t="str">
        <f t="shared" si="44"/>
        <v/>
      </c>
    </row>
    <row r="283" spans="1:40" ht="15.6">
      <c r="A283" s="5"/>
      <c r="B283" s="5"/>
      <c r="E283" s="17"/>
      <c r="F283" s="17"/>
      <c r="G283" s="17"/>
      <c r="H283" s="17"/>
      <c r="I283" s="17"/>
      <c r="J283" s="17"/>
      <c r="K283" s="17"/>
      <c r="L283" s="32"/>
      <c r="M283" s="61"/>
      <c r="N283" s="23"/>
      <c r="O283" s="23"/>
      <c r="P283" s="9"/>
      <c r="Q283" s="9"/>
      <c r="R283" s="9"/>
      <c r="S283" s="9"/>
      <c r="U283" s="42" t="str">
        <f t="shared" si="36"/>
        <v>, L:, E:, S:, TS:</v>
      </c>
      <c r="V283" s="42" t="str">
        <f t="shared" si="37"/>
        <v/>
      </c>
      <c r="W283" s="43">
        <f>IFERROR(VLOOKUP(A283,Esiehdot!A$11:D$15,4,0), 0)</f>
        <v>0</v>
      </c>
      <c r="X283" s="44">
        <f>IF(Esiehdot!D$4&gt;=IFERROR(VLOOKUP(E283,Valintalistat!D$2:H$7,5,0), 99),1,0)</f>
        <v>0</v>
      </c>
      <c r="Y283" s="44">
        <f>IF(Esiehdot!D$5&gt;=IFERROR(VLOOKUP(F283,Valintalistat!E$2:H$5,4,0), 99),1,0)</f>
        <v>0</v>
      </c>
      <c r="Z283" s="44">
        <f>IF(Esiehdot!D$6&gt;=IFERROR(VLOOKUP(G283,Valintalistat!F$2:H$5,3,0),99),1,0)</f>
        <v>0</v>
      </c>
      <c r="AA283" s="44">
        <f>IF(Esiehdot!D$8&gt;=IFERROR(VLOOKUP(H283,Valintalistat!G$2:H$5,2,0),99),1,0)</f>
        <v>0</v>
      </c>
      <c r="AB283" s="43">
        <f t="shared" si="38"/>
        <v>0</v>
      </c>
      <c r="AC283" s="44">
        <f>IF(Esiehdot!E$4=IFERROR(VLOOKUP(E283,Valintalistat!D$2:H$7,5,0),99),1,0)</f>
        <v>0</v>
      </c>
      <c r="AD283" s="44">
        <f>IF(Esiehdot!E$5=IFERROR(VLOOKUP(F283,Valintalistat!E$2:H$5,4,0),99),1,0)</f>
        <v>0</v>
      </c>
      <c r="AE283" s="44">
        <f>IF(Esiehdot!E$6=IFERROR(VLOOKUP(G283,Valintalistat!F$2:H$5,3,0),99),1,0)</f>
        <v>0</v>
      </c>
      <c r="AF283" s="44">
        <f>IF(Esiehdot!E$8=IFERROR(VLOOKUP(H283,Valintalistat!G$2:H$3,2,0),98),1,0)</f>
        <v>0</v>
      </c>
      <c r="AG283" s="43">
        <f t="shared" si="39"/>
        <v>0</v>
      </c>
      <c r="AH283" s="43">
        <f>IFERROR(HLOOKUP(Esiehdot!$B$17,Käyttötapauskriteerit!G$1:P223,283,0),1)</f>
        <v>1</v>
      </c>
      <c r="AI283" s="43">
        <f t="shared" si="40"/>
        <v>0</v>
      </c>
      <c r="AJ283" s="43">
        <f t="shared" si="41"/>
        <v>0</v>
      </c>
      <c r="AK283" s="43">
        <f t="shared" si="42"/>
        <v>0</v>
      </c>
      <c r="AL283" s="43">
        <f t="shared" si="43"/>
        <v>0</v>
      </c>
      <c r="AM283" s="43"/>
      <c r="AN283" s="45" t="str">
        <f t="shared" si="44"/>
        <v/>
      </c>
    </row>
    <row r="284" spans="1:40" ht="15.6">
      <c r="A284" s="5"/>
      <c r="B284" s="5"/>
      <c r="E284" s="17"/>
      <c r="F284" s="17"/>
      <c r="G284" s="17"/>
      <c r="H284" s="17"/>
      <c r="I284" s="17"/>
      <c r="J284" s="17"/>
      <c r="K284" s="17"/>
      <c r="L284" s="32"/>
      <c r="M284" s="61"/>
      <c r="N284" s="23"/>
      <c r="O284" s="23"/>
      <c r="P284" s="9"/>
      <c r="Q284" s="9"/>
      <c r="R284" s="9"/>
      <c r="S284" s="9"/>
      <c r="U284" s="42" t="str">
        <f t="shared" si="36"/>
        <v>, L:, E:, S:, TS:</v>
      </c>
      <c r="V284" s="42" t="str">
        <f t="shared" si="37"/>
        <v/>
      </c>
      <c r="W284" s="43">
        <f>IFERROR(VLOOKUP(A284,Esiehdot!A$11:D$15,4,0), 0)</f>
        <v>0</v>
      </c>
      <c r="X284" s="44">
        <f>IF(Esiehdot!D$4&gt;=IFERROR(VLOOKUP(E284,Valintalistat!D$2:H$7,5,0), 99),1,0)</f>
        <v>0</v>
      </c>
      <c r="Y284" s="44">
        <f>IF(Esiehdot!D$5&gt;=IFERROR(VLOOKUP(F284,Valintalistat!E$2:H$5,4,0), 99),1,0)</f>
        <v>0</v>
      </c>
      <c r="Z284" s="44">
        <f>IF(Esiehdot!D$6&gt;=IFERROR(VLOOKUP(G284,Valintalistat!F$2:H$5,3,0),99),1,0)</f>
        <v>0</v>
      </c>
      <c r="AA284" s="44">
        <f>IF(Esiehdot!D$8&gt;=IFERROR(VLOOKUP(H284,Valintalistat!G$2:H$5,2,0),99),1,0)</f>
        <v>0</v>
      </c>
      <c r="AB284" s="43">
        <f t="shared" si="38"/>
        <v>0</v>
      </c>
      <c r="AC284" s="44">
        <f>IF(Esiehdot!E$4=IFERROR(VLOOKUP(E284,Valintalistat!D$2:H$7,5,0),99),1,0)</f>
        <v>0</v>
      </c>
      <c r="AD284" s="44">
        <f>IF(Esiehdot!E$5=IFERROR(VLOOKUP(F284,Valintalistat!E$2:H$5,4,0),99),1,0)</f>
        <v>0</v>
      </c>
      <c r="AE284" s="44">
        <f>IF(Esiehdot!E$6=IFERROR(VLOOKUP(G284,Valintalistat!F$2:H$5,3,0),99),1,0)</f>
        <v>0</v>
      </c>
      <c r="AF284" s="44">
        <f>IF(Esiehdot!E$8=IFERROR(VLOOKUP(H284,Valintalistat!G$2:H$3,2,0),98),1,0)</f>
        <v>0</v>
      </c>
      <c r="AG284" s="43">
        <f t="shared" si="39"/>
        <v>0</v>
      </c>
      <c r="AH284" s="43">
        <f>IFERROR(HLOOKUP(Esiehdot!$B$17,Käyttötapauskriteerit!G$1:P223,284,0),1)</f>
        <v>1</v>
      </c>
      <c r="AI284" s="43">
        <f t="shared" si="40"/>
        <v>0</v>
      </c>
      <c r="AJ284" s="43">
        <f t="shared" si="41"/>
        <v>0</v>
      </c>
      <c r="AK284" s="43">
        <f t="shared" si="42"/>
        <v>0</v>
      </c>
      <c r="AL284" s="43">
        <f t="shared" si="43"/>
        <v>0</v>
      </c>
      <c r="AM284" s="43"/>
      <c r="AN284" s="45" t="str">
        <f t="shared" si="44"/>
        <v/>
      </c>
    </row>
    <row r="285" spans="1:40" ht="15.6">
      <c r="A285" s="5"/>
      <c r="B285" s="5"/>
      <c r="E285" s="17"/>
      <c r="F285" s="17"/>
      <c r="G285" s="17"/>
      <c r="H285" s="17"/>
      <c r="I285" s="17"/>
      <c r="J285" s="17"/>
      <c r="K285" s="17"/>
      <c r="L285" s="32"/>
      <c r="M285" s="61"/>
      <c r="N285" s="23"/>
      <c r="O285" s="23"/>
      <c r="P285" s="9"/>
      <c r="Q285" s="9"/>
      <c r="R285" s="9"/>
      <c r="S285" s="9"/>
      <c r="U285" s="42" t="str">
        <f t="shared" si="36"/>
        <v>, L:, E:, S:, TS:</v>
      </c>
      <c r="V285" s="42" t="str">
        <f t="shared" si="37"/>
        <v/>
      </c>
      <c r="W285" s="43">
        <f>IFERROR(VLOOKUP(A285,Esiehdot!A$11:D$15,4,0), 0)</f>
        <v>0</v>
      </c>
      <c r="X285" s="44">
        <f>IF(Esiehdot!D$4&gt;=IFERROR(VLOOKUP(E285,Valintalistat!D$2:H$7,5,0), 99),1,0)</f>
        <v>0</v>
      </c>
      <c r="Y285" s="44">
        <f>IF(Esiehdot!D$5&gt;=IFERROR(VLOOKUP(F285,Valintalistat!E$2:H$5,4,0), 99),1,0)</f>
        <v>0</v>
      </c>
      <c r="Z285" s="44">
        <f>IF(Esiehdot!D$6&gt;=IFERROR(VLOOKUP(G285,Valintalistat!F$2:H$5,3,0),99),1,0)</f>
        <v>0</v>
      </c>
      <c r="AA285" s="44">
        <f>IF(Esiehdot!D$8&gt;=IFERROR(VLOOKUP(H285,Valintalistat!G$2:H$5,2,0),99),1,0)</f>
        <v>0</v>
      </c>
      <c r="AB285" s="43">
        <f t="shared" si="38"/>
        <v>0</v>
      </c>
      <c r="AC285" s="44">
        <f>IF(Esiehdot!E$4=IFERROR(VLOOKUP(E285,Valintalistat!D$2:H$7,5,0),99),1,0)</f>
        <v>0</v>
      </c>
      <c r="AD285" s="44">
        <f>IF(Esiehdot!E$5=IFERROR(VLOOKUP(F285,Valintalistat!E$2:H$5,4,0),99),1,0)</f>
        <v>0</v>
      </c>
      <c r="AE285" s="44">
        <f>IF(Esiehdot!E$6=IFERROR(VLOOKUP(G285,Valintalistat!F$2:H$5,3,0),99),1,0)</f>
        <v>0</v>
      </c>
      <c r="AF285" s="44">
        <f>IF(Esiehdot!E$8=IFERROR(VLOOKUP(H285,Valintalistat!G$2:H$3,2,0),98),1,0)</f>
        <v>0</v>
      </c>
      <c r="AG285" s="43">
        <f t="shared" si="39"/>
        <v>0</v>
      </c>
      <c r="AH285" s="43">
        <f>IFERROR(HLOOKUP(Esiehdot!$B$17,Käyttötapauskriteerit!G$1:P223,285,0),1)</f>
        <v>1</v>
      </c>
      <c r="AI285" s="43">
        <f t="shared" si="40"/>
        <v>0</v>
      </c>
      <c r="AJ285" s="43">
        <f t="shared" si="41"/>
        <v>0</v>
      </c>
      <c r="AK285" s="43">
        <f t="shared" si="42"/>
        <v>0</v>
      </c>
      <c r="AL285" s="43">
        <f t="shared" si="43"/>
        <v>0</v>
      </c>
      <c r="AM285" s="43"/>
      <c r="AN285" s="45" t="str">
        <f t="shared" si="44"/>
        <v/>
      </c>
    </row>
    <row r="286" spans="1:40" ht="15.6">
      <c r="A286" s="5"/>
      <c r="B286" s="5"/>
      <c r="E286" s="17"/>
      <c r="F286" s="17"/>
      <c r="G286" s="17"/>
      <c r="H286" s="17"/>
      <c r="I286" s="17"/>
      <c r="J286" s="17"/>
      <c r="K286" s="17"/>
      <c r="L286" s="32"/>
      <c r="M286" s="61"/>
      <c r="N286" s="23"/>
      <c r="O286" s="23"/>
      <c r="P286" s="9"/>
      <c r="Q286" s="9"/>
      <c r="R286" s="9"/>
      <c r="S286" s="9"/>
      <c r="U286" s="42" t="str">
        <f t="shared" si="36"/>
        <v>, L:, E:, S:, TS:</v>
      </c>
      <c r="V286" s="42" t="str">
        <f t="shared" si="37"/>
        <v/>
      </c>
      <c r="W286" s="43">
        <f>IFERROR(VLOOKUP(A286,Esiehdot!A$11:D$15,4,0), 0)</f>
        <v>0</v>
      </c>
      <c r="X286" s="44">
        <f>IF(Esiehdot!D$4&gt;=IFERROR(VLOOKUP(E286,Valintalistat!D$2:H$7,5,0), 99),1,0)</f>
        <v>0</v>
      </c>
      <c r="Y286" s="44">
        <f>IF(Esiehdot!D$5&gt;=IFERROR(VLOOKUP(F286,Valintalistat!E$2:H$5,4,0), 99),1,0)</f>
        <v>0</v>
      </c>
      <c r="Z286" s="44">
        <f>IF(Esiehdot!D$6&gt;=IFERROR(VLOOKUP(G286,Valintalistat!F$2:H$5,3,0),99),1,0)</f>
        <v>0</v>
      </c>
      <c r="AA286" s="44">
        <f>IF(Esiehdot!D$8&gt;=IFERROR(VLOOKUP(H286,Valintalistat!G$2:H$5,2,0),99),1,0)</f>
        <v>0</v>
      </c>
      <c r="AB286" s="43">
        <f t="shared" si="38"/>
        <v>0</v>
      </c>
      <c r="AC286" s="44">
        <f>IF(Esiehdot!E$4=IFERROR(VLOOKUP(E286,Valintalistat!D$2:H$7,5,0),99),1,0)</f>
        <v>0</v>
      </c>
      <c r="AD286" s="44">
        <f>IF(Esiehdot!E$5=IFERROR(VLOOKUP(F286,Valintalistat!E$2:H$5,4,0),99),1,0)</f>
        <v>0</v>
      </c>
      <c r="AE286" s="44">
        <f>IF(Esiehdot!E$6=IFERROR(VLOOKUP(G286,Valintalistat!F$2:H$5,3,0),99),1,0)</f>
        <v>0</v>
      </c>
      <c r="AF286" s="44">
        <f>IF(Esiehdot!E$8=IFERROR(VLOOKUP(H286,Valintalistat!G$2:H$3,2,0),98),1,0)</f>
        <v>0</v>
      </c>
      <c r="AG286" s="43">
        <f t="shared" si="39"/>
        <v>0</v>
      </c>
      <c r="AH286" s="43">
        <f>IFERROR(HLOOKUP(Esiehdot!$B$17,Käyttötapauskriteerit!G$1:P223,286,0),1)</f>
        <v>1</v>
      </c>
      <c r="AI286" s="43">
        <f t="shared" si="40"/>
        <v>0</v>
      </c>
      <c r="AJ286" s="43">
        <f t="shared" si="41"/>
        <v>0</v>
      </c>
      <c r="AK286" s="43">
        <f t="shared" si="42"/>
        <v>0</v>
      </c>
      <c r="AL286" s="43">
        <f t="shared" si="43"/>
        <v>0</v>
      </c>
      <c r="AM286" s="43"/>
      <c r="AN286" s="45" t="str">
        <f t="shared" si="44"/>
        <v/>
      </c>
    </row>
    <row r="287" spans="1:40" ht="15.6">
      <c r="A287" s="5"/>
      <c r="B287" s="5"/>
      <c r="E287" s="17"/>
      <c r="F287" s="17"/>
      <c r="G287" s="17"/>
      <c r="H287" s="17"/>
      <c r="I287" s="17"/>
      <c r="J287" s="17"/>
      <c r="K287" s="17"/>
      <c r="L287" s="32"/>
      <c r="M287" s="61"/>
      <c r="N287" s="23"/>
      <c r="O287" s="23"/>
      <c r="P287" s="9"/>
      <c r="Q287" s="9"/>
      <c r="R287" s="9"/>
      <c r="S287" s="9"/>
      <c r="U287" s="42" t="str">
        <f t="shared" si="36"/>
        <v>, L:, E:, S:, TS:</v>
      </c>
      <c r="V287" s="42" t="str">
        <f t="shared" si="37"/>
        <v/>
      </c>
      <c r="W287" s="43">
        <f>IFERROR(VLOOKUP(A287,Esiehdot!A$11:D$15,4,0), 0)</f>
        <v>0</v>
      </c>
      <c r="X287" s="44">
        <f>IF(Esiehdot!D$4&gt;=IFERROR(VLOOKUP(E287,Valintalistat!D$2:H$7,5,0), 99),1,0)</f>
        <v>0</v>
      </c>
      <c r="Y287" s="44">
        <f>IF(Esiehdot!D$5&gt;=IFERROR(VLOOKUP(F287,Valintalistat!E$2:H$5,4,0), 99),1,0)</f>
        <v>0</v>
      </c>
      <c r="Z287" s="44">
        <f>IF(Esiehdot!D$6&gt;=IFERROR(VLOOKUP(G287,Valintalistat!F$2:H$5,3,0),99),1,0)</f>
        <v>0</v>
      </c>
      <c r="AA287" s="44">
        <f>IF(Esiehdot!D$8&gt;=IFERROR(VLOOKUP(H287,Valintalistat!G$2:H$5,2,0),99),1,0)</f>
        <v>0</v>
      </c>
      <c r="AB287" s="43">
        <f t="shared" si="38"/>
        <v>0</v>
      </c>
      <c r="AC287" s="44">
        <f>IF(Esiehdot!E$4=IFERROR(VLOOKUP(E287,Valintalistat!D$2:H$7,5,0),99),1,0)</f>
        <v>0</v>
      </c>
      <c r="AD287" s="44">
        <f>IF(Esiehdot!E$5=IFERROR(VLOOKUP(F287,Valintalistat!E$2:H$5,4,0),99),1,0)</f>
        <v>0</v>
      </c>
      <c r="AE287" s="44">
        <f>IF(Esiehdot!E$6=IFERROR(VLOOKUP(G287,Valintalistat!F$2:H$5,3,0),99),1,0)</f>
        <v>0</v>
      </c>
      <c r="AF287" s="44">
        <f>IF(Esiehdot!E$8=IFERROR(VLOOKUP(H287,Valintalistat!G$2:H$3,2,0),98),1,0)</f>
        <v>0</v>
      </c>
      <c r="AG287" s="43">
        <f t="shared" si="39"/>
        <v>0</v>
      </c>
      <c r="AH287" s="43">
        <f>IFERROR(HLOOKUP(Esiehdot!$B$17,Käyttötapauskriteerit!G$1:P223,287,0),1)</f>
        <v>1</v>
      </c>
      <c r="AI287" s="43">
        <f t="shared" si="40"/>
        <v>0</v>
      </c>
      <c r="AJ287" s="43">
        <f t="shared" si="41"/>
        <v>0</v>
      </c>
      <c r="AK287" s="43">
        <f t="shared" si="42"/>
        <v>0</v>
      </c>
      <c r="AL287" s="43">
        <f t="shared" si="43"/>
        <v>0</v>
      </c>
      <c r="AM287" s="43"/>
      <c r="AN287" s="45" t="str">
        <f t="shared" si="44"/>
        <v/>
      </c>
    </row>
    <row r="288" spans="1:40" ht="15.6">
      <c r="A288" s="5"/>
      <c r="B288" s="5"/>
      <c r="E288" s="17"/>
      <c r="F288" s="17"/>
      <c r="G288" s="17"/>
      <c r="H288" s="17"/>
      <c r="I288" s="17"/>
      <c r="J288" s="17"/>
      <c r="K288" s="17"/>
      <c r="L288" s="32"/>
      <c r="M288" s="61"/>
      <c r="N288" s="23"/>
      <c r="O288" s="23"/>
      <c r="P288" s="9"/>
      <c r="Q288" s="9"/>
      <c r="R288" s="9"/>
      <c r="S288" s="9"/>
      <c r="U288" s="42" t="str">
        <f t="shared" si="36"/>
        <v>, L:, E:, S:, TS:</v>
      </c>
      <c r="V288" s="42" t="str">
        <f t="shared" si="37"/>
        <v/>
      </c>
      <c r="W288" s="43">
        <f>IFERROR(VLOOKUP(A288,Esiehdot!A$11:D$15,4,0), 0)</f>
        <v>0</v>
      </c>
      <c r="X288" s="44">
        <f>IF(Esiehdot!D$4&gt;=IFERROR(VLOOKUP(E288,Valintalistat!D$2:H$7,5,0), 99),1,0)</f>
        <v>0</v>
      </c>
      <c r="Y288" s="44">
        <f>IF(Esiehdot!D$5&gt;=IFERROR(VLOOKUP(F288,Valintalistat!E$2:H$5,4,0), 99),1,0)</f>
        <v>0</v>
      </c>
      <c r="Z288" s="44">
        <f>IF(Esiehdot!D$6&gt;=IFERROR(VLOOKUP(G288,Valintalistat!F$2:H$5,3,0),99),1,0)</f>
        <v>0</v>
      </c>
      <c r="AA288" s="44">
        <f>IF(Esiehdot!D$8&gt;=IFERROR(VLOOKUP(H288,Valintalistat!G$2:H$5,2,0),99),1,0)</f>
        <v>0</v>
      </c>
      <c r="AB288" s="43">
        <f t="shared" si="38"/>
        <v>0</v>
      </c>
      <c r="AC288" s="44">
        <f>IF(Esiehdot!E$4=IFERROR(VLOOKUP(E288,Valintalistat!D$2:H$7,5,0),99),1,0)</f>
        <v>0</v>
      </c>
      <c r="AD288" s="44">
        <f>IF(Esiehdot!E$5=IFERROR(VLOOKUP(F288,Valintalistat!E$2:H$5,4,0),99),1,0)</f>
        <v>0</v>
      </c>
      <c r="AE288" s="44">
        <f>IF(Esiehdot!E$6=IFERROR(VLOOKUP(G288,Valintalistat!F$2:H$5,3,0),99),1,0)</f>
        <v>0</v>
      </c>
      <c r="AF288" s="44">
        <f>IF(Esiehdot!E$8=IFERROR(VLOOKUP(H288,Valintalistat!G$2:H$3,2,0),98),1,0)</f>
        <v>0</v>
      </c>
      <c r="AG288" s="43">
        <f t="shared" si="39"/>
        <v>0</v>
      </c>
      <c r="AH288" s="43">
        <f>IFERROR(HLOOKUP(Esiehdot!$B$17,Käyttötapauskriteerit!G$1:P223,288,0),1)</f>
        <v>1</v>
      </c>
      <c r="AI288" s="43">
        <f t="shared" si="40"/>
        <v>0</v>
      </c>
      <c r="AJ288" s="43">
        <f t="shared" si="41"/>
        <v>0</v>
      </c>
      <c r="AK288" s="43">
        <f t="shared" si="42"/>
        <v>0</v>
      </c>
      <c r="AL288" s="43">
        <f t="shared" si="43"/>
        <v>0</v>
      </c>
      <c r="AM288" s="43"/>
      <c r="AN288" s="45" t="str">
        <f t="shared" si="44"/>
        <v/>
      </c>
    </row>
    <row r="289" spans="1:40" ht="15.6">
      <c r="A289" s="5"/>
      <c r="B289" s="5"/>
      <c r="E289" s="17"/>
      <c r="F289" s="17"/>
      <c r="G289" s="17"/>
      <c r="H289" s="17"/>
      <c r="I289" s="17"/>
      <c r="J289" s="17"/>
      <c r="K289" s="17"/>
      <c r="L289" s="32"/>
      <c r="M289" s="61"/>
      <c r="N289" s="23"/>
      <c r="O289" s="23"/>
      <c r="P289" s="9"/>
      <c r="Q289" s="9"/>
      <c r="R289" s="9"/>
      <c r="S289" s="9"/>
      <c r="U289" s="42" t="str">
        <f t="shared" si="36"/>
        <v>, L:, E:, S:, TS:</v>
      </c>
      <c r="V289" s="42" t="str">
        <f t="shared" si="37"/>
        <v/>
      </c>
      <c r="W289" s="43">
        <f>IFERROR(VLOOKUP(A289,Esiehdot!A$11:D$15,4,0), 0)</f>
        <v>0</v>
      </c>
      <c r="X289" s="44">
        <f>IF(Esiehdot!D$4&gt;=IFERROR(VLOOKUP(E289,Valintalistat!D$2:H$7,5,0), 99),1,0)</f>
        <v>0</v>
      </c>
      <c r="Y289" s="44">
        <f>IF(Esiehdot!D$5&gt;=IFERROR(VLOOKUP(F289,Valintalistat!E$2:H$5,4,0), 99),1,0)</f>
        <v>0</v>
      </c>
      <c r="Z289" s="44">
        <f>IF(Esiehdot!D$6&gt;=IFERROR(VLOOKUP(G289,Valintalistat!F$2:H$5,3,0),99),1,0)</f>
        <v>0</v>
      </c>
      <c r="AA289" s="44">
        <f>IF(Esiehdot!D$8&gt;=IFERROR(VLOOKUP(H289,Valintalistat!G$2:H$5,2,0),99),1,0)</f>
        <v>0</v>
      </c>
      <c r="AB289" s="43">
        <f t="shared" si="38"/>
        <v>0</v>
      </c>
      <c r="AC289" s="44">
        <f>IF(Esiehdot!E$4=IFERROR(VLOOKUP(E289,Valintalistat!D$2:H$7,5,0),99),1,0)</f>
        <v>0</v>
      </c>
      <c r="AD289" s="44">
        <f>IF(Esiehdot!E$5=IFERROR(VLOOKUP(F289,Valintalistat!E$2:H$5,4,0),99),1,0)</f>
        <v>0</v>
      </c>
      <c r="AE289" s="44">
        <f>IF(Esiehdot!E$6=IFERROR(VLOOKUP(G289,Valintalistat!F$2:H$5,3,0),99),1,0)</f>
        <v>0</v>
      </c>
      <c r="AF289" s="44">
        <f>IF(Esiehdot!E$8=IFERROR(VLOOKUP(H289,Valintalistat!G$2:H$3,2,0),98),1,0)</f>
        <v>0</v>
      </c>
      <c r="AG289" s="43">
        <f t="shared" si="39"/>
        <v>0</v>
      </c>
      <c r="AH289" s="43">
        <f>IFERROR(HLOOKUP(Esiehdot!$B$17,Käyttötapauskriteerit!G$1:P223,289,0),1)</f>
        <v>1</v>
      </c>
      <c r="AI289" s="43">
        <f t="shared" si="40"/>
        <v>0</v>
      </c>
      <c r="AJ289" s="43">
        <f t="shared" si="41"/>
        <v>0</v>
      </c>
      <c r="AK289" s="43">
        <f t="shared" si="42"/>
        <v>0</v>
      </c>
      <c r="AL289" s="43">
        <f t="shared" si="43"/>
        <v>0</v>
      </c>
      <c r="AM289" s="43"/>
      <c r="AN289" s="45" t="str">
        <f t="shared" si="44"/>
        <v/>
      </c>
    </row>
    <row r="290" spans="1:40" ht="15.6">
      <c r="A290" s="5"/>
      <c r="B290" s="5"/>
      <c r="E290" s="17"/>
      <c r="F290" s="17"/>
      <c r="G290" s="17"/>
      <c r="H290" s="17"/>
      <c r="I290" s="17"/>
      <c r="J290" s="17"/>
      <c r="K290" s="17"/>
      <c r="L290" s="32"/>
      <c r="M290" s="61"/>
      <c r="N290" s="23"/>
      <c r="O290" s="23"/>
      <c r="P290" s="9"/>
      <c r="Q290" s="9"/>
      <c r="R290" s="9"/>
      <c r="S290" s="9"/>
      <c r="U290" s="42" t="str">
        <f t="shared" si="36"/>
        <v>, L:, E:, S:, TS:</v>
      </c>
      <c r="V290" s="42" t="str">
        <f t="shared" si="37"/>
        <v/>
      </c>
      <c r="W290" s="43">
        <f>IFERROR(VLOOKUP(A290,Esiehdot!A$11:D$15,4,0), 0)</f>
        <v>0</v>
      </c>
      <c r="X290" s="44">
        <f>IF(Esiehdot!D$4&gt;=IFERROR(VLOOKUP(E290,Valintalistat!D$2:H$7,5,0), 99),1,0)</f>
        <v>0</v>
      </c>
      <c r="Y290" s="44">
        <f>IF(Esiehdot!D$5&gt;=IFERROR(VLOOKUP(F290,Valintalistat!E$2:H$5,4,0), 99),1,0)</f>
        <v>0</v>
      </c>
      <c r="Z290" s="44">
        <f>IF(Esiehdot!D$6&gt;=IFERROR(VLOOKUP(G290,Valintalistat!F$2:H$5,3,0),99),1,0)</f>
        <v>0</v>
      </c>
      <c r="AA290" s="44">
        <f>IF(Esiehdot!D$8&gt;=IFERROR(VLOOKUP(H290,Valintalistat!G$2:H$5,2,0),99),1,0)</f>
        <v>0</v>
      </c>
      <c r="AB290" s="43">
        <f t="shared" si="38"/>
        <v>0</v>
      </c>
      <c r="AC290" s="44">
        <f>IF(Esiehdot!E$4=IFERROR(VLOOKUP(E290,Valintalistat!D$2:H$7,5,0),99),1,0)</f>
        <v>0</v>
      </c>
      <c r="AD290" s="44">
        <f>IF(Esiehdot!E$5=IFERROR(VLOOKUP(F290,Valintalistat!E$2:H$5,4,0),99),1,0)</f>
        <v>0</v>
      </c>
      <c r="AE290" s="44">
        <f>IF(Esiehdot!E$6=IFERROR(VLOOKUP(G290,Valintalistat!F$2:H$5,3,0),99),1,0)</f>
        <v>0</v>
      </c>
      <c r="AF290" s="44">
        <f>IF(Esiehdot!E$8=IFERROR(VLOOKUP(H290,Valintalistat!G$2:H$3,2,0),98),1,0)</f>
        <v>0</v>
      </c>
      <c r="AG290" s="43">
        <f t="shared" si="39"/>
        <v>0</v>
      </c>
      <c r="AH290" s="43">
        <f>IFERROR(HLOOKUP(Esiehdot!$B$17,Käyttötapauskriteerit!G$1:P223,290,0),1)</f>
        <v>1</v>
      </c>
      <c r="AI290" s="43">
        <f t="shared" si="40"/>
        <v>0</v>
      </c>
      <c r="AJ290" s="43">
        <f t="shared" si="41"/>
        <v>0</v>
      </c>
      <c r="AK290" s="43">
        <f t="shared" si="42"/>
        <v>0</v>
      </c>
      <c r="AL290" s="43">
        <f t="shared" si="43"/>
        <v>0</v>
      </c>
      <c r="AM290" s="43"/>
      <c r="AN290" s="45" t="str">
        <f t="shared" si="44"/>
        <v/>
      </c>
    </row>
    <row r="291" spans="1:40" ht="15.6">
      <c r="A291" s="5"/>
      <c r="B291" s="5"/>
      <c r="E291" s="17"/>
      <c r="F291" s="17"/>
      <c r="G291" s="17"/>
      <c r="H291" s="17"/>
      <c r="I291" s="17"/>
      <c r="J291" s="17"/>
      <c r="K291" s="17"/>
      <c r="L291" s="32"/>
      <c r="M291" s="61"/>
      <c r="N291" s="23"/>
      <c r="O291" s="23"/>
      <c r="P291" s="9"/>
      <c r="Q291" s="9"/>
      <c r="R291" s="9"/>
      <c r="S291" s="9"/>
      <c r="U291" s="42" t="str">
        <f t="shared" si="36"/>
        <v>, L:, E:, S:, TS:</v>
      </c>
      <c r="V291" s="42" t="str">
        <f t="shared" si="37"/>
        <v/>
      </c>
      <c r="W291" s="43">
        <f>IFERROR(VLOOKUP(A291,Esiehdot!A$11:D$15,4,0), 0)</f>
        <v>0</v>
      </c>
      <c r="X291" s="44">
        <f>IF(Esiehdot!D$4&gt;=IFERROR(VLOOKUP(E291,Valintalistat!D$2:H$7,5,0), 99),1,0)</f>
        <v>0</v>
      </c>
      <c r="Y291" s="44">
        <f>IF(Esiehdot!D$5&gt;=IFERROR(VLOOKUP(F291,Valintalistat!E$2:H$5,4,0), 99),1,0)</f>
        <v>0</v>
      </c>
      <c r="Z291" s="44">
        <f>IF(Esiehdot!D$6&gt;=IFERROR(VLOOKUP(G291,Valintalistat!F$2:H$5,3,0),99),1,0)</f>
        <v>0</v>
      </c>
      <c r="AA291" s="44">
        <f>IF(Esiehdot!D$8&gt;=IFERROR(VLOOKUP(H291,Valintalistat!G$2:H$5,2,0),99),1,0)</f>
        <v>0</v>
      </c>
      <c r="AB291" s="43">
        <f t="shared" si="38"/>
        <v>0</v>
      </c>
      <c r="AC291" s="44">
        <f>IF(Esiehdot!E$4=IFERROR(VLOOKUP(E291,Valintalistat!D$2:H$7,5,0),99),1,0)</f>
        <v>0</v>
      </c>
      <c r="AD291" s="44">
        <f>IF(Esiehdot!E$5=IFERROR(VLOOKUP(F291,Valintalistat!E$2:H$5,4,0),99),1,0)</f>
        <v>0</v>
      </c>
      <c r="AE291" s="44">
        <f>IF(Esiehdot!E$6=IFERROR(VLOOKUP(G291,Valintalistat!F$2:H$5,3,0),99),1,0)</f>
        <v>0</v>
      </c>
      <c r="AF291" s="44">
        <f>IF(Esiehdot!E$8=IFERROR(VLOOKUP(H291,Valintalistat!G$2:H$3,2,0),98),1,0)</f>
        <v>0</v>
      </c>
      <c r="AG291" s="43">
        <f t="shared" si="39"/>
        <v>0</v>
      </c>
      <c r="AH291" s="43">
        <f>IFERROR(HLOOKUP(Esiehdot!$B$17,Käyttötapauskriteerit!G$1:P223,291,0),1)</f>
        <v>1</v>
      </c>
      <c r="AI291" s="43">
        <f t="shared" si="40"/>
        <v>0</v>
      </c>
      <c r="AJ291" s="43">
        <f t="shared" si="41"/>
        <v>0</v>
      </c>
      <c r="AK291" s="43">
        <f t="shared" si="42"/>
        <v>0</v>
      </c>
      <c r="AL291" s="43">
        <f t="shared" si="43"/>
        <v>0</v>
      </c>
      <c r="AM291" s="43"/>
      <c r="AN291" s="45" t="str">
        <f t="shared" si="44"/>
        <v/>
      </c>
    </row>
    <row r="292" spans="1:40" ht="15.6">
      <c r="A292" s="5"/>
      <c r="B292" s="5"/>
      <c r="E292" s="17"/>
      <c r="F292" s="17"/>
      <c r="G292" s="17"/>
      <c r="H292" s="17"/>
      <c r="I292" s="17"/>
      <c r="J292" s="17"/>
      <c r="K292" s="17"/>
      <c r="L292" s="32"/>
      <c r="M292" s="61"/>
      <c r="N292" s="23"/>
      <c r="O292" s="23"/>
      <c r="P292" s="9"/>
      <c r="Q292" s="9"/>
      <c r="R292" s="9"/>
      <c r="S292" s="9"/>
      <c r="U292" s="42" t="str">
        <f t="shared" si="36"/>
        <v>, L:, E:, S:, TS:</v>
      </c>
      <c r="V292" s="42" t="str">
        <f t="shared" si="37"/>
        <v/>
      </c>
      <c r="W292" s="43">
        <f>IFERROR(VLOOKUP(A292,Esiehdot!A$11:D$15,4,0), 0)</f>
        <v>0</v>
      </c>
      <c r="X292" s="44">
        <f>IF(Esiehdot!D$4&gt;=IFERROR(VLOOKUP(E292,Valintalistat!D$2:H$7,5,0), 99),1,0)</f>
        <v>0</v>
      </c>
      <c r="Y292" s="44">
        <f>IF(Esiehdot!D$5&gt;=IFERROR(VLOOKUP(F292,Valintalistat!E$2:H$5,4,0), 99),1,0)</f>
        <v>0</v>
      </c>
      <c r="Z292" s="44">
        <f>IF(Esiehdot!D$6&gt;=IFERROR(VLOOKUP(G292,Valintalistat!F$2:H$5,3,0),99),1,0)</f>
        <v>0</v>
      </c>
      <c r="AA292" s="44">
        <f>IF(Esiehdot!D$8&gt;=IFERROR(VLOOKUP(H292,Valintalistat!G$2:H$5,2,0),99),1,0)</f>
        <v>0</v>
      </c>
      <c r="AB292" s="43">
        <f t="shared" si="38"/>
        <v>0</v>
      </c>
      <c r="AC292" s="44">
        <f>IF(Esiehdot!E$4=IFERROR(VLOOKUP(E292,Valintalistat!D$2:H$7,5,0),99),1,0)</f>
        <v>0</v>
      </c>
      <c r="AD292" s="44">
        <f>IF(Esiehdot!E$5=IFERROR(VLOOKUP(F292,Valintalistat!E$2:H$5,4,0),99),1,0)</f>
        <v>0</v>
      </c>
      <c r="AE292" s="44">
        <f>IF(Esiehdot!E$6=IFERROR(VLOOKUP(G292,Valintalistat!F$2:H$5,3,0),99),1,0)</f>
        <v>0</v>
      </c>
      <c r="AF292" s="44">
        <f>IF(Esiehdot!E$8=IFERROR(VLOOKUP(H292,Valintalistat!G$2:H$3,2,0),98),1,0)</f>
        <v>0</v>
      </c>
      <c r="AG292" s="43">
        <f t="shared" si="39"/>
        <v>0</v>
      </c>
      <c r="AH292" s="43">
        <f>IFERROR(HLOOKUP(Esiehdot!$B$17,Käyttötapauskriteerit!G$1:P223,292,0),1)</f>
        <v>1</v>
      </c>
      <c r="AI292" s="43">
        <f t="shared" si="40"/>
        <v>0</v>
      </c>
      <c r="AJ292" s="43">
        <f t="shared" si="41"/>
        <v>0</v>
      </c>
      <c r="AK292" s="43">
        <f t="shared" si="42"/>
        <v>0</v>
      </c>
      <c r="AL292" s="43">
        <f t="shared" si="43"/>
        <v>0</v>
      </c>
      <c r="AM292" s="43"/>
      <c r="AN292" s="45" t="str">
        <f t="shared" si="44"/>
        <v/>
      </c>
    </row>
    <row r="293" spans="1:40" ht="15.6">
      <c r="A293" s="5"/>
      <c r="B293" s="5"/>
      <c r="E293" s="17"/>
      <c r="F293" s="17"/>
      <c r="G293" s="17"/>
      <c r="H293" s="17"/>
      <c r="I293" s="17"/>
      <c r="J293" s="17"/>
      <c r="K293" s="17"/>
      <c r="L293" s="32"/>
      <c r="M293" s="61"/>
      <c r="N293" s="23"/>
      <c r="O293" s="23"/>
      <c r="P293" s="9"/>
      <c r="Q293" s="9"/>
      <c r="R293" s="9"/>
      <c r="S293" s="9"/>
      <c r="U293" s="42" t="str">
        <f t="shared" si="36"/>
        <v>, L:, E:, S:, TS:</v>
      </c>
      <c r="V293" s="42" t="str">
        <f t="shared" si="37"/>
        <v/>
      </c>
      <c r="W293" s="43">
        <f>IFERROR(VLOOKUP(A293,Esiehdot!A$11:D$15,4,0), 0)</f>
        <v>0</v>
      </c>
      <c r="X293" s="44">
        <f>IF(Esiehdot!D$4&gt;=IFERROR(VLOOKUP(E293,Valintalistat!D$2:H$7,5,0), 99),1,0)</f>
        <v>0</v>
      </c>
      <c r="Y293" s="44">
        <f>IF(Esiehdot!D$5&gt;=IFERROR(VLOOKUP(F293,Valintalistat!E$2:H$5,4,0), 99),1,0)</f>
        <v>0</v>
      </c>
      <c r="Z293" s="44">
        <f>IF(Esiehdot!D$6&gt;=IFERROR(VLOOKUP(G293,Valintalistat!F$2:H$5,3,0),99),1,0)</f>
        <v>0</v>
      </c>
      <c r="AA293" s="44">
        <f>IF(Esiehdot!D$8&gt;=IFERROR(VLOOKUP(H293,Valintalistat!G$2:H$5,2,0),99),1,0)</f>
        <v>0</v>
      </c>
      <c r="AB293" s="43">
        <f t="shared" si="38"/>
        <v>0</v>
      </c>
      <c r="AC293" s="44">
        <f>IF(Esiehdot!E$4=IFERROR(VLOOKUP(E293,Valintalistat!D$2:H$7,5,0),99),1,0)</f>
        <v>0</v>
      </c>
      <c r="AD293" s="44">
        <f>IF(Esiehdot!E$5=IFERROR(VLOOKUP(F293,Valintalistat!E$2:H$5,4,0),99),1,0)</f>
        <v>0</v>
      </c>
      <c r="AE293" s="44">
        <f>IF(Esiehdot!E$6=IFERROR(VLOOKUP(G293,Valintalistat!F$2:H$5,3,0),99),1,0)</f>
        <v>0</v>
      </c>
      <c r="AF293" s="44">
        <f>IF(Esiehdot!E$8=IFERROR(VLOOKUP(H293,Valintalistat!G$2:H$3,2,0),98),1,0)</f>
        <v>0</v>
      </c>
      <c r="AG293" s="43">
        <f t="shared" si="39"/>
        <v>0</v>
      </c>
      <c r="AH293" s="43">
        <f>IFERROR(HLOOKUP(Esiehdot!$B$17,Käyttötapauskriteerit!G$1:P223,293,0),1)</f>
        <v>1</v>
      </c>
      <c r="AI293" s="43">
        <f t="shared" si="40"/>
        <v>0</v>
      </c>
      <c r="AJ293" s="43">
        <f t="shared" si="41"/>
        <v>0</v>
      </c>
      <c r="AK293" s="43">
        <f t="shared" si="42"/>
        <v>0</v>
      </c>
      <c r="AL293" s="43">
        <f t="shared" si="43"/>
        <v>0</v>
      </c>
      <c r="AM293" s="43"/>
      <c r="AN293" s="45" t="str">
        <f t="shared" si="44"/>
        <v/>
      </c>
    </row>
    <row r="294" spans="1:40" ht="15.6">
      <c r="A294" s="5"/>
      <c r="B294" s="5"/>
      <c r="E294" s="17"/>
      <c r="F294" s="17"/>
      <c r="G294" s="17"/>
      <c r="H294" s="17"/>
      <c r="I294" s="17"/>
      <c r="J294" s="17"/>
      <c r="K294" s="17"/>
      <c r="L294" s="32"/>
      <c r="M294" s="61"/>
      <c r="N294" s="23"/>
      <c r="O294" s="23"/>
      <c r="P294" s="9"/>
      <c r="Q294" s="9"/>
      <c r="R294" s="9"/>
      <c r="S294" s="9"/>
      <c r="U294" s="42" t="str">
        <f t="shared" si="36"/>
        <v>, L:, E:, S:, TS:</v>
      </c>
      <c r="V294" s="42" t="str">
        <f t="shared" si="37"/>
        <v/>
      </c>
      <c r="W294" s="43">
        <f>IFERROR(VLOOKUP(A294,Esiehdot!A$11:D$15,4,0), 0)</f>
        <v>0</v>
      </c>
      <c r="X294" s="44">
        <f>IF(Esiehdot!D$4&gt;=IFERROR(VLOOKUP(E294,Valintalistat!D$2:H$7,5,0), 99),1,0)</f>
        <v>0</v>
      </c>
      <c r="Y294" s="44">
        <f>IF(Esiehdot!D$5&gt;=IFERROR(VLOOKUP(F294,Valintalistat!E$2:H$5,4,0), 99),1,0)</f>
        <v>0</v>
      </c>
      <c r="Z294" s="44">
        <f>IF(Esiehdot!D$6&gt;=IFERROR(VLOOKUP(G294,Valintalistat!F$2:H$5,3,0),99),1,0)</f>
        <v>0</v>
      </c>
      <c r="AA294" s="44">
        <f>IF(Esiehdot!D$8&gt;=IFERROR(VLOOKUP(H294,Valintalistat!G$2:H$5,2,0),99),1,0)</f>
        <v>0</v>
      </c>
      <c r="AB294" s="43">
        <f t="shared" si="38"/>
        <v>0</v>
      </c>
      <c r="AC294" s="44">
        <f>IF(Esiehdot!E$4=IFERROR(VLOOKUP(E294,Valintalistat!D$2:H$7,5,0),99),1,0)</f>
        <v>0</v>
      </c>
      <c r="AD294" s="44">
        <f>IF(Esiehdot!E$5=IFERROR(VLOOKUP(F294,Valintalistat!E$2:H$5,4,0),99),1,0)</f>
        <v>0</v>
      </c>
      <c r="AE294" s="44">
        <f>IF(Esiehdot!E$6=IFERROR(VLOOKUP(G294,Valintalistat!F$2:H$5,3,0),99),1,0)</f>
        <v>0</v>
      </c>
      <c r="AF294" s="44">
        <f>IF(Esiehdot!E$8=IFERROR(VLOOKUP(H294,Valintalistat!G$2:H$3,2,0),98),1,0)</f>
        <v>0</v>
      </c>
      <c r="AG294" s="43">
        <f t="shared" si="39"/>
        <v>0</v>
      </c>
      <c r="AH294" s="43">
        <f>IFERROR(HLOOKUP(Esiehdot!$B$17,Käyttötapauskriteerit!G$1:P223,294,0),1)</f>
        <v>1</v>
      </c>
      <c r="AI294" s="43">
        <f t="shared" si="40"/>
        <v>0</v>
      </c>
      <c r="AJ294" s="43">
        <f t="shared" si="41"/>
        <v>0</v>
      </c>
      <c r="AK294" s="43">
        <f t="shared" si="42"/>
        <v>0</v>
      </c>
      <c r="AL294" s="43">
        <f t="shared" si="43"/>
        <v>0</v>
      </c>
      <c r="AM294" s="43"/>
      <c r="AN294" s="45" t="str">
        <f t="shared" si="44"/>
        <v/>
      </c>
    </row>
    <row r="295" spans="1:40" ht="15.6">
      <c r="A295" s="5"/>
      <c r="B295" s="5"/>
      <c r="E295" s="17"/>
      <c r="F295" s="17"/>
      <c r="G295" s="17"/>
      <c r="H295" s="17"/>
      <c r="I295" s="17"/>
      <c r="J295" s="17"/>
      <c r="K295" s="17"/>
      <c r="L295" s="32"/>
      <c r="M295" s="61"/>
      <c r="N295" s="23"/>
      <c r="O295" s="23"/>
      <c r="P295" s="9"/>
      <c r="Q295" s="9"/>
      <c r="R295" s="9"/>
      <c r="S295" s="9"/>
      <c r="U295" s="42" t="str">
        <f t="shared" si="36"/>
        <v>, L:, E:, S:, TS:</v>
      </c>
      <c r="V295" s="42" t="str">
        <f t="shared" si="37"/>
        <v/>
      </c>
      <c r="W295" s="43">
        <f>IFERROR(VLOOKUP(A295,Esiehdot!A$11:D$15,4,0), 0)</f>
        <v>0</v>
      </c>
      <c r="X295" s="44">
        <f>IF(Esiehdot!D$4&gt;=IFERROR(VLOOKUP(E295,Valintalistat!D$2:H$7,5,0), 99),1,0)</f>
        <v>0</v>
      </c>
      <c r="Y295" s="44">
        <f>IF(Esiehdot!D$5&gt;=IFERROR(VLOOKUP(F295,Valintalistat!E$2:H$5,4,0), 99),1,0)</f>
        <v>0</v>
      </c>
      <c r="Z295" s="44">
        <f>IF(Esiehdot!D$6&gt;=IFERROR(VLOOKUP(G295,Valintalistat!F$2:H$5,3,0),99),1,0)</f>
        <v>0</v>
      </c>
      <c r="AA295" s="44">
        <f>IF(Esiehdot!D$8&gt;=IFERROR(VLOOKUP(H295,Valintalistat!G$2:H$5,2,0),99),1,0)</f>
        <v>0</v>
      </c>
      <c r="AB295" s="43">
        <f t="shared" si="38"/>
        <v>0</v>
      </c>
      <c r="AC295" s="44">
        <f>IF(Esiehdot!E$4=IFERROR(VLOOKUP(E295,Valintalistat!D$2:H$7,5,0),99),1,0)</f>
        <v>0</v>
      </c>
      <c r="AD295" s="44">
        <f>IF(Esiehdot!E$5=IFERROR(VLOOKUP(F295,Valintalistat!E$2:H$5,4,0),99),1,0)</f>
        <v>0</v>
      </c>
      <c r="AE295" s="44">
        <f>IF(Esiehdot!E$6=IFERROR(VLOOKUP(G295,Valintalistat!F$2:H$5,3,0),99),1,0)</f>
        <v>0</v>
      </c>
      <c r="AF295" s="44">
        <f>IF(Esiehdot!E$8=IFERROR(VLOOKUP(H295,Valintalistat!G$2:H$3,2,0),98),1,0)</f>
        <v>0</v>
      </c>
      <c r="AG295" s="43">
        <f t="shared" si="39"/>
        <v>0</v>
      </c>
      <c r="AH295" s="43">
        <f>IFERROR(HLOOKUP(Esiehdot!$B$17,Käyttötapauskriteerit!G$1:P223,295,0),1)</f>
        <v>1</v>
      </c>
      <c r="AI295" s="43">
        <f t="shared" si="40"/>
        <v>0</v>
      </c>
      <c r="AJ295" s="43">
        <f t="shared" si="41"/>
        <v>0</v>
      </c>
      <c r="AK295" s="43">
        <f t="shared" si="42"/>
        <v>0</v>
      </c>
      <c r="AL295" s="43">
        <f t="shared" si="43"/>
        <v>0</v>
      </c>
      <c r="AM295" s="43"/>
      <c r="AN295" s="45" t="str">
        <f t="shared" si="44"/>
        <v/>
      </c>
    </row>
    <row r="296" spans="1:40" ht="15.6">
      <c r="A296" s="5"/>
      <c r="B296" s="5"/>
      <c r="E296" s="17"/>
      <c r="F296" s="17"/>
      <c r="G296" s="17"/>
      <c r="H296" s="17"/>
      <c r="I296" s="17"/>
      <c r="J296" s="17"/>
      <c r="K296" s="17"/>
      <c r="L296" s="32"/>
      <c r="M296" s="61"/>
      <c r="N296" s="23"/>
      <c r="O296" s="23"/>
      <c r="P296" s="9"/>
      <c r="Q296" s="9"/>
      <c r="R296" s="9"/>
      <c r="S296" s="9"/>
      <c r="U296" s="42" t="str">
        <f t="shared" si="36"/>
        <v>, L:, E:, S:, TS:</v>
      </c>
      <c r="V296" s="42" t="str">
        <f t="shared" si="37"/>
        <v/>
      </c>
      <c r="W296" s="43">
        <f>IFERROR(VLOOKUP(A296,Esiehdot!A$11:D$15,4,0), 0)</f>
        <v>0</v>
      </c>
      <c r="X296" s="44">
        <f>IF(Esiehdot!D$4&gt;=IFERROR(VLOOKUP(E296,Valintalistat!D$2:H$7,5,0), 99),1,0)</f>
        <v>0</v>
      </c>
      <c r="Y296" s="44">
        <f>IF(Esiehdot!D$5&gt;=IFERROR(VLOOKUP(F296,Valintalistat!E$2:H$5,4,0), 99),1,0)</f>
        <v>0</v>
      </c>
      <c r="Z296" s="44">
        <f>IF(Esiehdot!D$6&gt;=IFERROR(VLOOKUP(G296,Valintalistat!F$2:H$5,3,0),99),1,0)</f>
        <v>0</v>
      </c>
      <c r="AA296" s="44">
        <f>IF(Esiehdot!D$8&gt;=IFERROR(VLOOKUP(H296,Valintalistat!G$2:H$5,2,0),99),1,0)</f>
        <v>0</v>
      </c>
      <c r="AB296" s="43">
        <f t="shared" si="38"/>
        <v>0</v>
      </c>
      <c r="AC296" s="44">
        <f>IF(Esiehdot!E$4=IFERROR(VLOOKUP(E296,Valintalistat!D$2:H$7,5,0),99),1,0)</f>
        <v>0</v>
      </c>
      <c r="AD296" s="44">
        <f>IF(Esiehdot!E$5=IFERROR(VLOOKUP(F296,Valintalistat!E$2:H$5,4,0),99),1,0)</f>
        <v>0</v>
      </c>
      <c r="AE296" s="44">
        <f>IF(Esiehdot!E$6=IFERROR(VLOOKUP(G296,Valintalistat!F$2:H$5,3,0),99),1,0)</f>
        <v>0</v>
      </c>
      <c r="AF296" s="44">
        <f>IF(Esiehdot!E$8=IFERROR(VLOOKUP(H296,Valintalistat!G$2:H$3,2,0),98),1,0)</f>
        <v>0</v>
      </c>
      <c r="AG296" s="43">
        <f t="shared" si="39"/>
        <v>0</v>
      </c>
      <c r="AH296" s="43">
        <f>IFERROR(HLOOKUP(Esiehdot!$B$17,Käyttötapauskriteerit!G$1:P223,296,0),1)</f>
        <v>1</v>
      </c>
      <c r="AI296" s="43">
        <f t="shared" si="40"/>
        <v>0</v>
      </c>
      <c r="AJ296" s="43">
        <f t="shared" si="41"/>
        <v>0</v>
      </c>
      <c r="AK296" s="43">
        <f t="shared" si="42"/>
        <v>0</v>
      </c>
      <c r="AL296" s="43">
        <f t="shared" si="43"/>
        <v>0</v>
      </c>
      <c r="AM296" s="43"/>
      <c r="AN296" s="45" t="str">
        <f t="shared" si="44"/>
        <v/>
      </c>
    </row>
    <row r="297" spans="1:40" ht="15.6">
      <c r="A297" s="5"/>
      <c r="B297" s="5"/>
      <c r="E297" s="17"/>
      <c r="F297" s="17"/>
      <c r="G297" s="17"/>
      <c r="H297" s="17"/>
      <c r="I297" s="17"/>
      <c r="J297" s="17"/>
      <c r="K297" s="17"/>
      <c r="L297" s="32"/>
      <c r="M297" s="61"/>
      <c r="N297" s="23"/>
      <c r="O297" s="23"/>
      <c r="P297" s="9"/>
      <c r="Q297" s="9"/>
      <c r="R297" s="9"/>
      <c r="S297" s="9"/>
      <c r="U297" s="42" t="str">
        <f t="shared" si="36"/>
        <v>, L:, E:, S:, TS:</v>
      </c>
      <c r="V297" s="42" t="str">
        <f t="shared" si="37"/>
        <v/>
      </c>
      <c r="W297" s="43">
        <f>IFERROR(VLOOKUP(A297,Esiehdot!A$11:D$15,4,0), 0)</f>
        <v>0</v>
      </c>
      <c r="X297" s="44">
        <f>IF(Esiehdot!D$4&gt;=IFERROR(VLOOKUP(E297,Valintalistat!D$2:H$7,5,0), 99),1,0)</f>
        <v>0</v>
      </c>
      <c r="Y297" s="44">
        <f>IF(Esiehdot!D$5&gt;=IFERROR(VLOOKUP(F297,Valintalistat!E$2:H$5,4,0), 99),1,0)</f>
        <v>0</v>
      </c>
      <c r="Z297" s="44">
        <f>IF(Esiehdot!D$6&gt;=IFERROR(VLOOKUP(G297,Valintalistat!F$2:H$5,3,0),99),1,0)</f>
        <v>0</v>
      </c>
      <c r="AA297" s="44">
        <f>IF(Esiehdot!D$8&gt;=IFERROR(VLOOKUP(H297,Valintalistat!G$2:H$5,2,0),99),1,0)</f>
        <v>0</v>
      </c>
      <c r="AB297" s="43">
        <f t="shared" si="38"/>
        <v>0</v>
      </c>
      <c r="AC297" s="44">
        <f>IF(Esiehdot!E$4=IFERROR(VLOOKUP(E297,Valintalistat!D$2:H$7,5,0),99),1,0)</f>
        <v>0</v>
      </c>
      <c r="AD297" s="44">
        <f>IF(Esiehdot!E$5=IFERROR(VLOOKUP(F297,Valintalistat!E$2:H$5,4,0),99),1,0)</f>
        <v>0</v>
      </c>
      <c r="AE297" s="44">
        <f>IF(Esiehdot!E$6=IFERROR(VLOOKUP(G297,Valintalistat!F$2:H$5,3,0),99),1,0)</f>
        <v>0</v>
      </c>
      <c r="AF297" s="44">
        <f>IF(Esiehdot!E$8=IFERROR(VLOOKUP(H297,Valintalistat!G$2:H$3,2,0),98),1,0)</f>
        <v>0</v>
      </c>
      <c r="AG297" s="43">
        <f t="shared" si="39"/>
        <v>0</v>
      </c>
      <c r="AH297" s="43">
        <f>IFERROR(HLOOKUP(Esiehdot!$B$17,Käyttötapauskriteerit!G$1:P223,297,0),1)</f>
        <v>1</v>
      </c>
      <c r="AI297" s="43">
        <f t="shared" si="40"/>
        <v>0</v>
      </c>
      <c r="AJ297" s="43">
        <f t="shared" si="41"/>
        <v>0</v>
      </c>
      <c r="AK297" s="43">
        <f t="shared" si="42"/>
        <v>0</v>
      </c>
      <c r="AL297" s="43">
        <f t="shared" si="43"/>
        <v>0</v>
      </c>
      <c r="AM297" s="43"/>
      <c r="AN297" s="45" t="str">
        <f t="shared" si="44"/>
        <v/>
      </c>
    </row>
    <row r="298" spans="1:40" ht="15.6">
      <c r="A298" s="5"/>
      <c r="B298" s="5"/>
      <c r="E298" s="17"/>
      <c r="F298" s="17"/>
      <c r="G298" s="17"/>
      <c r="H298" s="17"/>
      <c r="I298" s="17"/>
      <c r="J298" s="17"/>
      <c r="K298" s="17"/>
      <c r="L298" s="32"/>
      <c r="M298" s="61"/>
      <c r="N298" s="23"/>
      <c r="O298" s="23"/>
      <c r="P298" s="9"/>
      <c r="Q298" s="9"/>
      <c r="R298" s="9"/>
      <c r="S298" s="9"/>
      <c r="U298" s="42" t="str">
        <f t="shared" si="36"/>
        <v>, L:, E:, S:, TS:</v>
      </c>
      <c r="V298" s="42" t="str">
        <f t="shared" si="37"/>
        <v/>
      </c>
      <c r="W298" s="43">
        <f>IFERROR(VLOOKUP(A298,Esiehdot!A$11:D$15,4,0), 0)</f>
        <v>0</v>
      </c>
      <c r="X298" s="44">
        <f>IF(Esiehdot!D$4&gt;=IFERROR(VLOOKUP(E298,Valintalistat!D$2:H$7,5,0), 99),1,0)</f>
        <v>0</v>
      </c>
      <c r="Y298" s="44">
        <f>IF(Esiehdot!D$5&gt;=IFERROR(VLOOKUP(F298,Valintalistat!E$2:H$5,4,0), 99),1,0)</f>
        <v>0</v>
      </c>
      <c r="Z298" s="44">
        <f>IF(Esiehdot!D$6&gt;=IFERROR(VLOOKUP(G298,Valintalistat!F$2:H$5,3,0),99),1,0)</f>
        <v>0</v>
      </c>
      <c r="AA298" s="44">
        <f>IF(Esiehdot!D$8&gt;=IFERROR(VLOOKUP(H298,Valintalistat!G$2:H$5,2,0),99),1,0)</f>
        <v>0</v>
      </c>
      <c r="AB298" s="43">
        <f t="shared" si="38"/>
        <v>0</v>
      </c>
      <c r="AC298" s="44">
        <f>IF(Esiehdot!E$4=IFERROR(VLOOKUP(E298,Valintalistat!D$2:H$7,5,0),99),1,0)</f>
        <v>0</v>
      </c>
      <c r="AD298" s="44">
        <f>IF(Esiehdot!E$5=IFERROR(VLOOKUP(F298,Valintalistat!E$2:H$5,4,0),99),1,0)</f>
        <v>0</v>
      </c>
      <c r="AE298" s="44">
        <f>IF(Esiehdot!E$6=IFERROR(VLOOKUP(G298,Valintalistat!F$2:H$5,3,0),99),1,0)</f>
        <v>0</v>
      </c>
      <c r="AF298" s="44">
        <f>IF(Esiehdot!E$8=IFERROR(VLOOKUP(H298,Valintalistat!G$2:H$3,2,0),98),1,0)</f>
        <v>0</v>
      </c>
      <c r="AG298" s="43">
        <f t="shared" si="39"/>
        <v>0</v>
      </c>
      <c r="AH298" s="43">
        <f>IFERROR(HLOOKUP(Esiehdot!$B$17,Käyttötapauskriteerit!G$1:P223,298,0),1)</f>
        <v>1</v>
      </c>
      <c r="AI298" s="43">
        <f t="shared" si="40"/>
        <v>0</v>
      </c>
      <c r="AJ298" s="43">
        <f t="shared" si="41"/>
        <v>0</v>
      </c>
      <c r="AK298" s="43">
        <f t="shared" si="42"/>
        <v>0</v>
      </c>
      <c r="AL298" s="43">
        <f t="shared" si="43"/>
        <v>0</v>
      </c>
      <c r="AM298" s="43"/>
      <c r="AN298" s="45" t="str">
        <f t="shared" si="44"/>
        <v/>
      </c>
    </row>
    <row r="299" spans="1:40" ht="15.6">
      <c r="A299" s="5"/>
      <c r="B299" s="5"/>
      <c r="E299" s="17"/>
      <c r="F299" s="17"/>
      <c r="G299" s="17"/>
      <c r="H299" s="17"/>
      <c r="I299" s="17"/>
      <c r="J299" s="17"/>
      <c r="K299" s="17"/>
      <c r="L299" s="32"/>
      <c r="M299" s="61"/>
      <c r="N299" s="23"/>
      <c r="O299" s="23"/>
      <c r="P299" s="9"/>
      <c r="Q299" s="9"/>
      <c r="R299" s="9"/>
      <c r="S299" s="9"/>
      <c r="U299" s="42" t="str">
        <f t="shared" si="36"/>
        <v>, L:, E:, S:, TS:</v>
      </c>
      <c r="V299" s="42" t="str">
        <f t="shared" si="37"/>
        <v/>
      </c>
      <c r="W299" s="43">
        <f>IFERROR(VLOOKUP(A299,Esiehdot!A$11:D$15,4,0), 0)</f>
        <v>0</v>
      </c>
      <c r="X299" s="44">
        <f>IF(Esiehdot!D$4&gt;=IFERROR(VLOOKUP(E299,Valintalistat!D$2:H$7,5,0), 99),1,0)</f>
        <v>0</v>
      </c>
      <c r="Y299" s="44">
        <f>IF(Esiehdot!D$5&gt;=IFERROR(VLOOKUP(F299,Valintalistat!E$2:H$5,4,0), 99),1,0)</f>
        <v>0</v>
      </c>
      <c r="Z299" s="44">
        <f>IF(Esiehdot!D$6&gt;=IFERROR(VLOOKUP(G299,Valintalistat!F$2:H$5,3,0),99),1,0)</f>
        <v>0</v>
      </c>
      <c r="AA299" s="44">
        <f>IF(Esiehdot!D$8&gt;=IFERROR(VLOOKUP(H299,Valintalistat!G$2:H$5,2,0),99),1,0)</f>
        <v>0</v>
      </c>
      <c r="AB299" s="43">
        <f t="shared" si="38"/>
        <v>0</v>
      </c>
      <c r="AC299" s="44">
        <f>IF(Esiehdot!E$4=IFERROR(VLOOKUP(E299,Valintalistat!D$2:H$7,5,0),99),1,0)</f>
        <v>0</v>
      </c>
      <c r="AD299" s="44">
        <f>IF(Esiehdot!E$5=IFERROR(VLOOKUP(F299,Valintalistat!E$2:H$5,4,0),99),1,0)</f>
        <v>0</v>
      </c>
      <c r="AE299" s="44">
        <f>IF(Esiehdot!E$6=IFERROR(VLOOKUP(G299,Valintalistat!F$2:H$5,3,0),99),1,0)</f>
        <v>0</v>
      </c>
      <c r="AF299" s="44">
        <f>IF(Esiehdot!E$8=IFERROR(VLOOKUP(H299,Valintalistat!G$2:H$3,2,0),98),1,0)</f>
        <v>0</v>
      </c>
      <c r="AG299" s="43">
        <f t="shared" si="39"/>
        <v>0</v>
      </c>
      <c r="AH299" s="43">
        <f>IFERROR(HLOOKUP(Esiehdot!$B$17,Käyttötapauskriteerit!G$1:P223,299,0),1)</f>
        <v>1</v>
      </c>
      <c r="AI299" s="43">
        <f t="shared" si="40"/>
        <v>0</v>
      </c>
      <c r="AJ299" s="43">
        <f t="shared" si="41"/>
        <v>0</v>
      </c>
      <c r="AK299" s="43">
        <f t="shared" si="42"/>
        <v>0</v>
      </c>
      <c r="AL299" s="43">
        <f t="shared" si="43"/>
        <v>0</v>
      </c>
      <c r="AM299" s="43"/>
      <c r="AN299" s="45" t="str">
        <f t="shared" si="44"/>
        <v/>
      </c>
    </row>
    <row r="300" spans="1:40" ht="15.6">
      <c r="A300" s="5"/>
      <c r="B300" s="5"/>
      <c r="E300" s="17"/>
      <c r="F300" s="17"/>
      <c r="G300" s="17"/>
      <c r="H300" s="17"/>
      <c r="I300" s="17"/>
      <c r="J300" s="17"/>
      <c r="K300" s="17"/>
      <c r="L300" s="32"/>
      <c r="M300" s="61"/>
      <c r="N300" s="23"/>
      <c r="O300" s="23"/>
      <c r="P300" s="9"/>
      <c r="Q300" s="9"/>
      <c r="R300" s="9"/>
      <c r="S300" s="9"/>
      <c r="U300" s="42" t="str">
        <f t="shared" si="36"/>
        <v>, L:, E:, S:, TS:</v>
      </c>
      <c r="V300" s="42" t="str">
        <f t="shared" si="37"/>
        <v/>
      </c>
      <c r="W300" s="43">
        <f>IFERROR(VLOOKUP(A300,Esiehdot!A$11:D$15,4,0), 0)</f>
        <v>0</v>
      </c>
      <c r="X300" s="44">
        <f>IF(Esiehdot!D$4&gt;=IFERROR(VLOOKUP(E300,Valintalistat!D$2:H$7,5,0), 99),1,0)</f>
        <v>0</v>
      </c>
      <c r="Y300" s="44">
        <f>IF(Esiehdot!D$5&gt;=IFERROR(VLOOKUP(F300,Valintalistat!E$2:H$5,4,0), 99),1,0)</f>
        <v>0</v>
      </c>
      <c r="Z300" s="44">
        <f>IF(Esiehdot!D$6&gt;=IFERROR(VLOOKUP(G300,Valintalistat!F$2:H$5,3,0),99),1,0)</f>
        <v>0</v>
      </c>
      <c r="AA300" s="44">
        <f>IF(Esiehdot!D$8&gt;=IFERROR(VLOOKUP(H300,Valintalistat!G$2:H$5,2,0),99),1,0)</f>
        <v>0</v>
      </c>
      <c r="AB300" s="43">
        <f t="shared" si="38"/>
        <v>0</v>
      </c>
      <c r="AC300" s="44">
        <f>IF(Esiehdot!E$4=IFERROR(VLOOKUP(E300,Valintalistat!D$2:H$7,5,0),99),1,0)</f>
        <v>0</v>
      </c>
      <c r="AD300" s="44">
        <f>IF(Esiehdot!E$5=IFERROR(VLOOKUP(F300,Valintalistat!E$2:H$5,4,0),99),1,0)</f>
        <v>0</v>
      </c>
      <c r="AE300" s="44">
        <f>IF(Esiehdot!E$6=IFERROR(VLOOKUP(G300,Valintalistat!F$2:H$5,3,0),99),1,0)</f>
        <v>0</v>
      </c>
      <c r="AF300" s="44">
        <f>IF(Esiehdot!E$8=IFERROR(VLOOKUP(H300,Valintalistat!G$2:H$3,2,0),98),1,0)</f>
        <v>0</v>
      </c>
      <c r="AG300" s="43">
        <f t="shared" si="39"/>
        <v>0</v>
      </c>
      <c r="AH300" s="43">
        <f>IFERROR(HLOOKUP(Esiehdot!$B$17,Käyttötapauskriteerit!G$1:P223,300,0),1)</f>
        <v>1</v>
      </c>
      <c r="AI300" s="43">
        <f t="shared" si="40"/>
        <v>0</v>
      </c>
      <c r="AJ300" s="43">
        <f t="shared" si="41"/>
        <v>0</v>
      </c>
      <c r="AK300" s="43">
        <f t="shared" si="42"/>
        <v>0</v>
      </c>
      <c r="AL300" s="43">
        <f t="shared" si="43"/>
        <v>0</v>
      </c>
      <c r="AM300" s="43"/>
      <c r="AN300" s="45" t="str">
        <f t="shared" si="44"/>
        <v/>
      </c>
    </row>
    <row r="301" spans="1:40" ht="15.6">
      <c r="A301" s="5"/>
      <c r="B301" s="5"/>
      <c r="E301" s="17"/>
      <c r="F301" s="17"/>
      <c r="G301" s="17"/>
      <c r="H301" s="17"/>
      <c r="I301" s="17"/>
      <c r="J301" s="17"/>
      <c r="K301" s="17"/>
      <c r="L301" s="32"/>
      <c r="M301" s="61"/>
      <c r="N301" s="23"/>
      <c r="O301" s="23"/>
      <c r="P301" s="9"/>
      <c r="Q301" s="9"/>
      <c r="R301" s="9"/>
      <c r="S301" s="9"/>
      <c r="U301" s="42" t="str">
        <f t="shared" si="36"/>
        <v>, L:, E:, S:, TS:</v>
      </c>
      <c r="V301" s="42" t="str">
        <f t="shared" si="37"/>
        <v/>
      </c>
      <c r="W301" s="43">
        <f>IFERROR(VLOOKUP(A301,Esiehdot!A$11:D$15,4,0), 0)</f>
        <v>0</v>
      </c>
      <c r="X301" s="44">
        <f>IF(Esiehdot!D$4&gt;=IFERROR(VLOOKUP(E301,Valintalistat!D$2:H$7,5,0), 99),1,0)</f>
        <v>0</v>
      </c>
      <c r="Y301" s="44">
        <f>IF(Esiehdot!D$5&gt;=IFERROR(VLOOKUP(F301,Valintalistat!E$2:H$5,4,0), 99),1,0)</f>
        <v>0</v>
      </c>
      <c r="Z301" s="44">
        <f>IF(Esiehdot!D$6&gt;=IFERROR(VLOOKUP(G301,Valintalistat!F$2:H$5,3,0),99),1,0)</f>
        <v>0</v>
      </c>
      <c r="AA301" s="44">
        <f>IF(Esiehdot!D$8&gt;=IFERROR(VLOOKUP(H301,Valintalistat!G$2:H$5,2,0),99),1,0)</f>
        <v>0</v>
      </c>
      <c r="AB301" s="43">
        <f t="shared" si="38"/>
        <v>0</v>
      </c>
      <c r="AC301" s="44">
        <f>IF(Esiehdot!E$4=IFERROR(VLOOKUP(E301,Valintalistat!D$2:H$7,5,0),99),1,0)</f>
        <v>0</v>
      </c>
      <c r="AD301" s="44">
        <f>IF(Esiehdot!E$5=IFERROR(VLOOKUP(F301,Valintalistat!E$2:H$5,4,0),99),1,0)</f>
        <v>0</v>
      </c>
      <c r="AE301" s="44">
        <f>IF(Esiehdot!E$6=IFERROR(VLOOKUP(G301,Valintalistat!F$2:H$5,3,0),99),1,0)</f>
        <v>0</v>
      </c>
      <c r="AF301" s="44">
        <f>IF(Esiehdot!E$8=IFERROR(VLOOKUP(H301,Valintalistat!G$2:H$3,2,0),98),1,0)</f>
        <v>0</v>
      </c>
      <c r="AG301" s="43">
        <f t="shared" si="39"/>
        <v>0</v>
      </c>
      <c r="AH301" s="43">
        <f>IFERROR(HLOOKUP(Esiehdot!$B$17,Käyttötapauskriteerit!G$1:P223,301,0),1)</f>
        <v>1</v>
      </c>
      <c r="AI301" s="43">
        <f t="shared" si="40"/>
        <v>0</v>
      </c>
      <c r="AJ301" s="43">
        <f t="shared" si="41"/>
        <v>0</v>
      </c>
      <c r="AK301" s="43">
        <f t="shared" si="42"/>
        <v>0</v>
      </c>
      <c r="AL301" s="43">
        <f t="shared" si="43"/>
        <v>0</v>
      </c>
      <c r="AM301" s="43"/>
      <c r="AN301" s="45" t="str">
        <f t="shared" si="44"/>
        <v/>
      </c>
    </row>
    <row r="302" spans="1:40" ht="15.6">
      <c r="A302" s="5"/>
      <c r="B302" s="5"/>
      <c r="E302" s="17"/>
      <c r="F302" s="17"/>
      <c r="G302" s="17"/>
      <c r="H302" s="17"/>
      <c r="I302" s="17"/>
      <c r="J302" s="17"/>
      <c r="K302" s="17"/>
      <c r="L302" s="32"/>
      <c r="M302" s="61"/>
      <c r="N302" s="23"/>
      <c r="O302" s="23"/>
      <c r="P302" s="9"/>
      <c r="Q302" s="9"/>
      <c r="R302" s="9"/>
      <c r="S302" s="9"/>
      <c r="U302" s="42" t="str">
        <f t="shared" si="36"/>
        <v>, L:, E:, S:, TS:</v>
      </c>
      <c r="V302" s="42" t="str">
        <f t="shared" si="37"/>
        <v/>
      </c>
      <c r="W302" s="43">
        <f>IFERROR(VLOOKUP(A302,Esiehdot!A$11:D$15,4,0), 0)</f>
        <v>0</v>
      </c>
      <c r="X302" s="44">
        <f>IF(Esiehdot!D$4&gt;=IFERROR(VLOOKUP(E302,Valintalistat!D$2:H$7,5,0), 99),1,0)</f>
        <v>0</v>
      </c>
      <c r="Y302" s="44">
        <f>IF(Esiehdot!D$5&gt;=IFERROR(VLOOKUP(F302,Valintalistat!E$2:H$5,4,0), 99),1,0)</f>
        <v>0</v>
      </c>
      <c r="Z302" s="44">
        <f>IF(Esiehdot!D$6&gt;=IFERROR(VLOOKUP(G302,Valintalistat!F$2:H$5,3,0),99),1,0)</f>
        <v>0</v>
      </c>
      <c r="AA302" s="44">
        <f>IF(Esiehdot!D$8&gt;=IFERROR(VLOOKUP(H302,Valintalistat!G$2:H$5,2,0),99),1,0)</f>
        <v>0</v>
      </c>
      <c r="AB302" s="43">
        <f t="shared" si="38"/>
        <v>0</v>
      </c>
      <c r="AC302" s="44">
        <f>IF(Esiehdot!E$4=IFERROR(VLOOKUP(E302,Valintalistat!D$2:H$7,5,0),99),1,0)</f>
        <v>0</v>
      </c>
      <c r="AD302" s="44">
        <f>IF(Esiehdot!E$5=IFERROR(VLOOKUP(F302,Valintalistat!E$2:H$5,4,0),99),1,0)</f>
        <v>0</v>
      </c>
      <c r="AE302" s="44">
        <f>IF(Esiehdot!E$6=IFERROR(VLOOKUP(G302,Valintalistat!F$2:H$5,3,0),99),1,0)</f>
        <v>0</v>
      </c>
      <c r="AF302" s="44">
        <f>IF(Esiehdot!E$8=IFERROR(VLOOKUP(H302,Valintalistat!G$2:H$3,2,0),98),1,0)</f>
        <v>0</v>
      </c>
      <c r="AG302" s="43">
        <f t="shared" si="39"/>
        <v>0</v>
      </c>
      <c r="AH302" s="43">
        <f>IFERROR(HLOOKUP(Esiehdot!$B$17,Käyttötapauskriteerit!G$1:P223,302,0),1)</f>
        <v>1</v>
      </c>
      <c r="AI302" s="43">
        <f t="shared" si="40"/>
        <v>0</v>
      </c>
      <c r="AJ302" s="43">
        <f t="shared" si="41"/>
        <v>0</v>
      </c>
      <c r="AK302" s="43">
        <f t="shared" si="42"/>
        <v>0</v>
      </c>
      <c r="AL302" s="43">
        <f t="shared" si="43"/>
        <v>0</v>
      </c>
      <c r="AM302" s="43"/>
      <c r="AN302" s="45" t="str">
        <f t="shared" si="44"/>
        <v/>
      </c>
    </row>
    <row r="303" spans="1:40" ht="15.6">
      <c r="A303" s="5"/>
      <c r="B303" s="5"/>
      <c r="E303" s="17"/>
      <c r="F303" s="17"/>
      <c r="G303" s="17"/>
      <c r="H303" s="17"/>
      <c r="I303" s="17"/>
      <c r="J303" s="17"/>
      <c r="K303" s="17"/>
      <c r="L303" s="32"/>
      <c r="M303" s="61"/>
      <c r="N303" s="23"/>
      <c r="O303" s="23"/>
      <c r="P303" s="9"/>
      <c r="Q303" s="9"/>
      <c r="R303" s="9"/>
      <c r="S303" s="9"/>
      <c r="U303" s="42" t="str">
        <f t="shared" si="36"/>
        <v>, L:, E:, S:, TS:</v>
      </c>
      <c r="V303" s="42" t="str">
        <f t="shared" si="37"/>
        <v/>
      </c>
      <c r="W303" s="43">
        <f>IFERROR(VLOOKUP(A303,Esiehdot!A$11:D$15,4,0), 0)</f>
        <v>0</v>
      </c>
      <c r="X303" s="44">
        <f>IF(Esiehdot!D$4&gt;=IFERROR(VLOOKUP(E303,Valintalistat!D$2:H$7,5,0), 99),1,0)</f>
        <v>0</v>
      </c>
      <c r="Y303" s="44">
        <f>IF(Esiehdot!D$5&gt;=IFERROR(VLOOKUP(F303,Valintalistat!E$2:H$5,4,0), 99),1,0)</f>
        <v>0</v>
      </c>
      <c r="Z303" s="44">
        <f>IF(Esiehdot!D$6&gt;=IFERROR(VLOOKUP(G303,Valintalistat!F$2:H$5,3,0),99),1,0)</f>
        <v>0</v>
      </c>
      <c r="AA303" s="44">
        <f>IF(Esiehdot!D$8&gt;=IFERROR(VLOOKUP(H303,Valintalistat!G$2:H$5,2,0),99),1,0)</f>
        <v>0</v>
      </c>
      <c r="AB303" s="43">
        <f t="shared" si="38"/>
        <v>0</v>
      </c>
      <c r="AC303" s="44">
        <f>IF(Esiehdot!E$4=IFERROR(VLOOKUP(E303,Valintalistat!D$2:H$7,5,0),99),1,0)</f>
        <v>0</v>
      </c>
      <c r="AD303" s="44">
        <f>IF(Esiehdot!E$5=IFERROR(VLOOKUP(F303,Valintalistat!E$2:H$5,4,0),99),1,0)</f>
        <v>0</v>
      </c>
      <c r="AE303" s="44">
        <f>IF(Esiehdot!E$6=IFERROR(VLOOKUP(G303,Valintalistat!F$2:H$5,3,0),99),1,0)</f>
        <v>0</v>
      </c>
      <c r="AF303" s="44">
        <f>IF(Esiehdot!E$8=IFERROR(VLOOKUP(H303,Valintalistat!G$2:H$3,2,0),98),1,0)</f>
        <v>0</v>
      </c>
      <c r="AG303" s="43">
        <f t="shared" si="39"/>
        <v>0</v>
      </c>
      <c r="AH303" s="43">
        <f>IFERROR(HLOOKUP(Esiehdot!$B$17,Käyttötapauskriteerit!G$1:P223,303,0),1)</f>
        <v>1</v>
      </c>
      <c r="AI303" s="43">
        <f t="shared" si="40"/>
        <v>0</v>
      </c>
      <c r="AJ303" s="43">
        <f t="shared" si="41"/>
        <v>0</v>
      </c>
      <c r="AK303" s="43">
        <f t="shared" si="42"/>
        <v>0</v>
      </c>
      <c r="AL303" s="43">
        <f t="shared" si="43"/>
        <v>0</v>
      </c>
      <c r="AM303" s="43"/>
      <c r="AN303" s="45" t="str">
        <f t="shared" si="44"/>
        <v/>
      </c>
    </row>
    <row r="304" spans="1:40" ht="15.6">
      <c r="A304" s="5"/>
      <c r="B304" s="5"/>
      <c r="E304" s="17"/>
      <c r="F304" s="17"/>
      <c r="G304" s="17"/>
      <c r="H304" s="17"/>
      <c r="I304" s="17"/>
      <c r="J304" s="17"/>
      <c r="K304" s="17"/>
      <c r="L304" s="32"/>
      <c r="M304" s="61"/>
      <c r="N304" s="23"/>
      <c r="O304" s="23"/>
      <c r="P304" s="9"/>
      <c r="Q304" s="9"/>
      <c r="R304" s="9"/>
      <c r="S304" s="9"/>
      <c r="U304" s="42" t="str">
        <f t="shared" si="36"/>
        <v>, L:, E:, S:, TS:</v>
      </c>
      <c r="V304" s="42" t="str">
        <f t="shared" si="37"/>
        <v/>
      </c>
      <c r="W304" s="43">
        <f>IFERROR(VLOOKUP(A304,Esiehdot!A$11:D$15,4,0), 0)</f>
        <v>0</v>
      </c>
      <c r="X304" s="44">
        <f>IF(Esiehdot!D$4&gt;=IFERROR(VLOOKUP(E304,Valintalistat!D$2:H$7,5,0), 99),1,0)</f>
        <v>0</v>
      </c>
      <c r="Y304" s="44">
        <f>IF(Esiehdot!D$5&gt;=IFERROR(VLOOKUP(F304,Valintalistat!E$2:H$5,4,0), 99),1,0)</f>
        <v>0</v>
      </c>
      <c r="Z304" s="44">
        <f>IF(Esiehdot!D$6&gt;=IFERROR(VLOOKUP(G304,Valintalistat!F$2:H$5,3,0),99),1,0)</f>
        <v>0</v>
      </c>
      <c r="AA304" s="44">
        <f>IF(Esiehdot!D$8&gt;=IFERROR(VLOOKUP(H304,Valintalistat!G$2:H$5,2,0),99),1,0)</f>
        <v>0</v>
      </c>
      <c r="AB304" s="43">
        <f t="shared" si="38"/>
        <v>0</v>
      </c>
      <c r="AC304" s="44">
        <f>IF(Esiehdot!E$4=IFERROR(VLOOKUP(E304,Valintalistat!D$2:H$7,5,0),99),1,0)</f>
        <v>0</v>
      </c>
      <c r="AD304" s="44">
        <f>IF(Esiehdot!E$5=IFERROR(VLOOKUP(F304,Valintalistat!E$2:H$5,4,0),99),1,0)</f>
        <v>0</v>
      </c>
      <c r="AE304" s="44">
        <f>IF(Esiehdot!E$6=IFERROR(VLOOKUP(G304,Valintalistat!F$2:H$5,3,0),99),1,0)</f>
        <v>0</v>
      </c>
      <c r="AF304" s="44">
        <f>IF(Esiehdot!E$8=IFERROR(VLOOKUP(H304,Valintalistat!G$2:H$3,2,0),98),1,0)</f>
        <v>0</v>
      </c>
      <c r="AG304" s="43">
        <f t="shared" si="39"/>
        <v>0</v>
      </c>
      <c r="AH304" s="43">
        <f>IFERROR(HLOOKUP(Esiehdot!$B$17,Käyttötapauskriteerit!G$1:P223,304,0),1)</f>
        <v>1</v>
      </c>
      <c r="AI304" s="43">
        <f t="shared" si="40"/>
        <v>0</v>
      </c>
      <c r="AJ304" s="43">
        <f t="shared" si="41"/>
        <v>0</v>
      </c>
      <c r="AK304" s="43">
        <f t="shared" si="42"/>
        <v>0</v>
      </c>
      <c r="AL304" s="43">
        <f t="shared" si="43"/>
        <v>0</v>
      </c>
      <c r="AM304" s="43"/>
      <c r="AN304" s="45" t="str">
        <f t="shared" si="44"/>
        <v/>
      </c>
    </row>
    <row r="305" spans="1:40" ht="15.6">
      <c r="A305" s="5"/>
      <c r="B305" s="5"/>
      <c r="E305" s="17"/>
      <c r="F305" s="17"/>
      <c r="G305" s="17"/>
      <c r="H305" s="17"/>
      <c r="I305" s="17"/>
      <c r="J305" s="17"/>
      <c r="K305" s="17"/>
      <c r="L305" s="32"/>
      <c r="M305" s="61"/>
      <c r="N305" s="23"/>
      <c r="O305" s="23"/>
      <c r="P305" s="9"/>
      <c r="Q305" s="9"/>
      <c r="R305" s="9"/>
      <c r="S305" s="9"/>
      <c r="U305" s="42" t="str">
        <f t="shared" si="36"/>
        <v>, L:, E:, S:, TS:</v>
      </c>
      <c r="V305" s="42" t="str">
        <f t="shared" si="37"/>
        <v/>
      </c>
      <c r="W305" s="43">
        <f>IFERROR(VLOOKUP(A305,Esiehdot!A$11:D$15,4,0), 0)</f>
        <v>0</v>
      </c>
      <c r="X305" s="44">
        <f>IF(Esiehdot!D$4&gt;=IFERROR(VLOOKUP(E305,Valintalistat!D$2:H$7,5,0), 99),1,0)</f>
        <v>0</v>
      </c>
      <c r="Y305" s="44">
        <f>IF(Esiehdot!D$5&gt;=IFERROR(VLOOKUP(F305,Valintalistat!E$2:H$5,4,0), 99),1,0)</f>
        <v>0</v>
      </c>
      <c r="Z305" s="44">
        <f>IF(Esiehdot!D$6&gt;=IFERROR(VLOOKUP(G305,Valintalistat!F$2:H$5,3,0),99),1,0)</f>
        <v>0</v>
      </c>
      <c r="AA305" s="44">
        <f>IF(Esiehdot!D$8&gt;=IFERROR(VLOOKUP(H305,Valintalistat!G$2:H$5,2,0),99),1,0)</f>
        <v>0</v>
      </c>
      <c r="AB305" s="43">
        <f t="shared" si="38"/>
        <v>0</v>
      </c>
      <c r="AC305" s="44">
        <f>IF(Esiehdot!E$4=IFERROR(VLOOKUP(E305,Valintalistat!D$2:H$7,5,0),99),1,0)</f>
        <v>0</v>
      </c>
      <c r="AD305" s="44">
        <f>IF(Esiehdot!E$5=IFERROR(VLOOKUP(F305,Valintalistat!E$2:H$5,4,0),99),1,0)</f>
        <v>0</v>
      </c>
      <c r="AE305" s="44">
        <f>IF(Esiehdot!E$6=IFERROR(VLOOKUP(G305,Valintalistat!F$2:H$5,3,0),99),1,0)</f>
        <v>0</v>
      </c>
      <c r="AF305" s="44">
        <f>IF(Esiehdot!E$8=IFERROR(VLOOKUP(H305,Valintalistat!G$2:H$3,2,0),98),1,0)</f>
        <v>0</v>
      </c>
      <c r="AG305" s="43">
        <f t="shared" si="39"/>
        <v>0</v>
      </c>
      <c r="AH305" s="43">
        <f>IFERROR(HLOOKUP(Esiehdot!$B$17,Käyttötapauskriteerit!G$1:P223,305,0),1)</f>
        <v>1</v>
      </c>
      <c r="AI305" s="43">
        <f t="shared" si="40"/>
        <v>0</v>
      </c>
      <c r="AJ305" s="43">
        <f t="shared" si="41"/>
        <v>0</v>
      </c>
      <c r="AK305" s="43">
        <f t="shared" si="42"/>
        <v>0</v>
      </c>
      <c r="AL305" s="43">
        <f t="shared" si="43"/>
        <v>0</v>
      </c>
      <c r="AM305" s="43"/>
      <c r="AN305" s="45" t="str">
        <f t="shared" si="44"/>
        <v/>
      </c>
    </row>
    <row r="306" spans="1:40" ht="15.6">
      <c r="A306" s="5"/>
      <c r="B306" s="5"/>
      <c r="E306" s="17"/>
      <c r="F306" s="17"/>
      <c r="G306" s="17"/>
      <c r="H306" s="17"/>
      <c r="I306" s="17"/>
      <c r="J306" s="17"/>
      <c r="K306" s="17"/>
      <c r="L306" s="32"/>
      <c r="M306" s="61"/>
      <c r="N306" s="23"/>
      <c r="O306" s="23"/>
      <c r="P306" s="9"/>
      <c r="Q306" s="9"/>
      <c r="R306" s="9"/>
      <c r="S306" s="9"/>
      <c r="U306" s="42" t="str">
        <f t="shared" si="36"/>
        <v>, L:, E:, S:, TS:</v>
      </c>
      <c r="V306" s="42" t="str">
        <f t="shared" si="37"/>
        <v/>
      </c>
      <c r="W306" s="43">
        <f>IFERROR(VLOOKUP(A306,Esiehdot!A$11:D$15,4,0), 0)</f>
        <v>0</v>
      </c>
      <c r="X306" s="44">
        <f>IF(Esiehdot!D$4&gt;=IFERROR(VLOOKUP(E306,Valintalistat!D$2:H$7,5,0), 99),1,0)</f>
        <v>0</v>
      </c>
      <c r="Y306" s="44">
        <f>IF(Esiehdot!D$5&gt;=IFERROR(VLOOKUP(F306,Valintalistat!E$2:H$5,4,0), 99),1,0)</f>
        <v>0</v>
      </c>
      <c r="Z306" s="44">
        <f>IF(Esiehdot!D$6&gt;=IFERROR(VLOOKUP(G306,Valintalistat!F$2:H$5,3,0),99),1,0)</f>
        <v>0</v>
      </c>
      <c r="AA306" s="44">
        <f>IF(Esiehdot!D$8&gt;=IFERROR(VLOOKUP(H306,Valintalistat!G$2:H$5,2,0),99),1,0)</f>
        <v>0</v>
      </c>
      <c r="AB306" s="43">
        <f t="shared" si="38"/>
        <v>0</v>
      </c>
      <c r="AC306" s="44">
        <f>IF(Esiehdot!E$4=IFERROR(VLOOKUP(E306,Valintalistat!D$2:H$7,5,0),99),1,0)</f>
        <v>0</v>
      </c>
      <c r="AD306" s="44">
        <f>IF(Esiehdot!E$5=IFERROR(VLOOKUP(F306,Valintalistat!E$2:H$5,4,0),99),1,0)</f>
        <v>0</v>
      </c>
      <c r="AE306" s="44">
        <f>IF(Esiehdot!E$6=IFERROR(VLOOKUP(G306,Valintalistat!F$2:H$5,3,0),99),1,0)</f>
        <v>0</v>
      </c>
      <c r="AF306" s="44">
        <f>IF(Esiehdot!E$8=IFERROR(VLOOKUP(H306,Valintalistat!G$2:H$3,2,0),98),1,0)</f>
        <v>0</v>
      </c>
      <c r="AG306" s="43">
        <f t="shared" si="39"/>
        <v>0</v>
      </c>
      <c r="AH306" s="43">
        <f>IFERROR(HLOOKUP(Esiehdot!$B$17,Käyttötapauskriteerit!G$1:P223,306,0),1)</f>
        <v>1</v>
      </c>
      <c r="AI306" s="43">
        <f t="shared" si="40"/>
        <v>0</v>
      </c>
      <c r="AJ306" s="43">
        <f t="shared" si="41"/>
        <v>0</v>
      </c>
      <c r="AK306" s="43">
        <f t="shared" si="42"/>
        <v>0</v>
      </c>
      <c r="AL306" s="43">
        <f t="shared" si="43"/>
        <v>0</v>
      </c>
      <c r="AM306" s="43"/>
      <c r="AN306" s="45" t="str">
        <f t="shared" si="44"/>
        <v/>
      </c>
    </row>
    <row r="307" spans="1:40" ht="15.6">
      <c r="A307" s="5"/>
      <c r="B307" s="5"/>
      <c r="E307" s="17"/>
      <c r="F307" s="17"/>
      <c r="G307" s="17"/>
      <c r="H307" s="17"/>
      <c r="I307" s="17"/>
      <c r="J307" s="17"/>
      <c r="K307" s="17"/>
      <c r="L307" s="32"/>
      <c r="M307" s="61"/>
      <c r="N307" s="23"/>
      <c r="O307" s="23"/>
      <c r="P307" s="9"/>
      <c r="Q307" s="9"/>
      <c r="R307" s="9"/>
      <c r="S307" s="9"/>
      <c r="U307" s="42" t="str">
        <f t="shared" si="36"/>
        <v>, L:, E:, S:, TS:</v>
      </c>
      <c r="V307" s="42" t="str">
        <f t="shared" si="37"/>
        <v/>
      </c>
      <c r="W307" s="43">
        <f>IFERROR(VLOOKUP(A307,Esiehdot!A$11:D$15,4,0), 0)</f>
        <v>0</v>
      </c>
      <c r="X307" s="44">
        <f>IF(Esiehdot!D$4&gt;=IFERROR(VLOOKUP(E307,Valintalistat!D$2:H$7,5,0), 99),1,0)</f>
        <v>0</v>
      </c>
      <c r="Y307" s="44">
        <f>IF(Esiehdot!D$5&gt;=IFERROR(VLOOKUP(F307,Valintalistat!E$2:H$5,4,0), 99),1,0)</f>
        <v>0</v>
      </c>
      <c r="Z307" s="44">
        <f>IF(Esiehdot!D$6&gt;=IFERROR(VLOOKUP(G307,Valintalistat!F$2:H$5,3,0),99),1,0)</f>
        <v>0</v>
      </c>
      <c r="AA307" s="44">
        <f>IF(Esiehdot!D$8&gt;=IFERROR(VLOOKUP(H307,Valintalistat!G$2:H$5,2,0),99),1,0)</f>
        <v>0</v>
      </c>
      <c r="AB307" s="43">
        <f t="shared" si="38"/>
        <v>0</v>
      </c>
      <c r="AC307" s="44">
        <f>IF(Esiehdot!E$4=IFERROR(VLOOKUP(E307,Valintalistat!D$2:H$7,5,0),99),1,0)</f>
        <v>0</v>
      </c>
      <c r="AD307" s="44">
        <f>IF(Esiehdot!E$5=IFERROR(VLOOKUP(F307,Valintalistat!E$2:H$5,4,0),99),1,0)</f>
        <v>0</v>
      </c>
      <c r="AE307" s="44">
        <f>IF(Esiehdot!E$6=IFERROR(VLOOKUP(G307,Valintalistat!F$2:H$5,3,0),99),1,0)</f>
        <v>0</v>
      </c>
      <c r="AF307" s="44">
        <f>IF(Esiehdot!E$8=IFERROR(VLOOKUP(H307,Valintalistat!G$2:H$3,2,0),98),1,0)</f>
        <v>0</v>
      </c>
      <c r="AG307" s="43">
        <f t="shared" si="39"/>
        <v>0</v>
      </c>
      <c r="AH307" s="43">
        <f>IFERROR(HLOOKUP(Esiehdot!$B$17,Käyttötapauskriteerit!G$1:P223,307,0),1)</f>
        <v>1</v>
      </c>
      <c r="AI307" s="43">
        <f t="shared" si="40"/>
        <v>0</v>
      </c>
      <c r="AJ307" s="43">
        <f t="shared" si="41"/>
        <v>0</v>
      </c>
      <c r="AK307" s="43">
        <f t="shared" si="42"/>
        <v>0</v>
      </c>
      <c r="AL307" s="43">
        <f t="shared" si="43"/>
        <v>0</v>
      </c>
      <c r="AM307" s="43"/>
      <c r="AN307" s="45" t="str">
        <f t="shared" si="44"/>
        <v/>
      </c>
    </row>
    <row r="308" spans="1:40" ht="15.6">
      <c r="A308" s="5"/>
      <c r="B308" s="5"/>
      <c r="E308" s="17"/>
      <c r="F308" s="17"/>
      <c r="G308" s="17"/>
      <c r="H308" s="17"/>
      <c r="I308" s="17"/>
      <c r="J308" s="17"/>
      <c r="K308" s="17"/>
      <c r="L308" s="32"/>
      <c r="M308" s="61"/>
      <c r="N308" s="23"/>
      <c r="O308" s="23"/>
      <c r="P308" s="9"/>
      <c r="Q308" s="9"/>
      <c r="R308" s="9"/>
      <c r="S308" s="9"/>
      <c r="U308" s="42" t="str">
        <f t="shared" si="36"/>
        <v>, L:, E:, S:, TS:</v>
      </c>
      <c r="V308" s="42" t="str">
        <f t="shared" si="37"/>
        <v/>
      </c>
      <c r="W308" s="43">
        <f>IFERROR(VLOOKUP(A308,Esiehdot!A$11:D$15,4,0), 0)</f>
        <v>0</v>
      </c>
      <c r="X308" s="44">
        <f>IF(Esiehdot!D$4&gt;=IFERROR(VLOOKUP(E308,Valintalistat!D$2:H$7,5,0), 99),1,0)</f>
        <v>0</v>
      </c>
      <c r="Y308" s="44">
        <f>IF(Esiehdot!D$5&gt;=IFERROR(VLOOKUP(F308,Valintalistat!E$2:H$5,4,0), 99),1,0)</f>
        <v>0</v>
      </c>
      <c r="Z308" s="44">
        <f>IF(Esiehdot!D$6&gt;=IFERROR(VLOOKUP(G308,Valintalistat!F$2:H$5,3,0),99),1,0)</f>
        <v>0</v>
      </c>
      <c r="AA308" s="44">
        <f>IF(Esiehdot!D$8&gt;=IFERROR(VLOOKUP(H308,Valintalistat!G$2:H$5,2,0),99),1,0)</f>
        <v>0</v>
      </c>
      <c r="AB308" s="43">
        <f t="shared" si="38"/>
        <v>0</v>
      </c>
      <c r="AC308" s="44">
        <f>IF(Esiehdot!E$4=IFERROR(VLOOKUP(E308,Valintalistat!D$2:H$7,5,0),99),1,0)</f>
        <v>0</v>
      </c>
      <c r="AD308" s="44">
        <f>IF(Esiehdot!E$5=IFERROR(VLOOKUP(F308,Valintalistat!E$2:H$5,4,0),99),1,0)</f>
        <v>0</v>
      </c>
      <c r="AE308" s="44">
        <f>IF(Esiehdot!E$6=IFERROR(VLOOKUP(G308,Valintalistat!F$2:H$5,3,0),99),1,0)</f>
        <v>0</v>
      </c>
      <c r="AF308" s="44">
        <f>IF(Esiehdot!E$8=IFERROR(VLOOKUP(H308,Valintalistat!G$2:H$3,2,0),98),1,0)</f>
        <v>0</v>
      </c>
      <c r="AG308" s="43">
        <f t="shared" si="39"/>
        <v>0</v>
      </c>
      <c r="AH308" s="43">
        <f>IFERROR(HLOOKUP(Esiehdot!$B$17,Käyttötapauskriteerit!G$1:P223,308,0),1)</f>
        <v>1</v>
      </c>
      <c r="AI308" s="43">
        <f t="shared" si="40"/>
        <v>0</v>
      </c>
      <c r="AJ308" s="43">
        <f t="shared" si="41"/>
        <v>0</v>
      </c>
      <c r="AK308" s="43">
        <f t="shared" si="42"/>
        <v>0</v>
      </c>
      <c r="AL308" s="43">
        <f t="shared" si="43"/>
        <v>0</v>
      </c>
      <c r="AM308" s="43"/>
      <c r="AN308" s="45" t="str">
        <f t="shared" si="44"/>
        <v/>
      </c>
    </row>
    <row r="309" spans="1:40" ht="15.6">
      <c r="A309" s="5"/>
      <c r="B309" s="5"/>
      <c r="E309" s="17"/>
      <c r="F309" s="17"/>
      <c r="G309" s="17"/>
      <c r="H309" s="17"/>
      <c r="I309" s="17"/>
      <c r="J309" s="17"/>
      <c r="K309" s="17"/>
      <c r="L309" s="32"/>
      <c r="M309" s="61"/>
      <c r="N309" s="23"/>
      <c r="O309" s="23"/>
      <c r="P309" s="9"/>
      <c r="Q309" s="9"/>
      <c r="R309" s="9"/>
      <c r="S309" s="9"/>
      <c r="U309" s="42" t="str">
        <f t="shared" si="36"/>
        <v>, L:, E:, S:, TS:</v>
      </c>
      <c r="V309" s="42" t="str">
        <f t="shared" si="37"/>
        <v/>
      </c>
      <c r="W309" s="43">
        <f>IFERROR(VLOOKUP(A309,Esiehdot!A$11:D$15,4,0), 0)</f>
        <v>0</v>
      </c>
      <c r="X309" s="44">
        <f>IF(Esiehdot!D$4&gt;=IFERROR(VLOOKUP(E309,Valintalistat!D$2:H$7,5,0), 99),1,0)</f>
        <v>0</v>
      </c>
      <c r="Y309" s="44">
        <f>IF(Esiehdot!D$5&gt;=IFERROR(VLOOKUP(F309,Valintalistat!E$2:H$5,4,0), 99),1,0)</f>
        <v>0</v>
      </c>
      <c r="Z309" s="44">
        <f>IF(Esiehdot!D$6&gt;=IFERROR(VLOOKUP(G309,Valintalistat!F$2:H$5,3,0),99),1,0)</f>
        <v>0</v>
      </c>
      <c r="AA309" s="44">
        <f>IF(Esiehdot!D$8&gt;=IFERROR(VLOOKUP(H309,Valintalistat!G$2:H$5,2,0),99),1,0)</f>
        <v>0</v>
      </c>
      <c r="AB309" s="43">
        <f t="shared" si="38"/>
        <v>0</v>
      </c>
      <c r="AC309" s="44">
        <f>IF(Esiehdot!E$4=IFERROR(VLOOKUP(E309,Valintalistat!D$2:H$7,5,0),99),1,0)</f>
        <v>0</v>
      </c>
      <c r="AD309" s="44">
        <f>IF(Esiehdot!E$5=IFERROR(VLOOKUP(F309,Valintalistat!E$2:H$5,4,0),99),1,0)</f>
        <v>0</v>
      </c>
      <c r="AE309" s="44">
        <f>IF(Esiehdot!E$6=IFERROR(VLOOKUP(G309,Valintalistat!F$2:H$5,3,0),99),1,0)</f>
        <v>0</v>
      </c>
      <c r="AF309" s="44">
        <f>IF(Esiehdot!E$8=IFERROR(VLOOKUP(H309,Valintalistat!G$2:H$3,2,0),98),1,0)</f>
        <v>0</v>
      </c>
      <c r="AG309" s="43">
        <f t="shared" si="39"/>
        <v>0</v>
      </c>
      <c r="AH309" s="43">
        <f>IFERROR(HLOOKUP(Esiehdot!$B$17,Käyttötapauskriteerit!G$1:P223,309,0),1)</f>
        <v>1</v>
      </c>
      <c r="AI309" s="43">
        <f t="shared" si="40"/>
        <v>0</v>
      </c>
      <c r="AJ309" s="43">
        <f t="shared" si="41"/>
        <v>0</v>
      </c>
      <c r="AK309" s="43">
        <f t="shared" si="42"/>
        <v>0</v>
      </c>
      <c r="AL309" s="43">
        <f t="shared" si="43"/>
        <v>0</v>
      </c>
      <c r="AM309" s="43"/>
      <c r="AN309" s="45" t="str">
        <f t="shared" si="44"/>
        <v/>
      </c>
    </row>
    <row r="310" spans="1:40" ht="15.6">
      <c r="A310" s="5"/>
      <c r="B310" s="5"/>
      <c r="E310" s="17"/>
      <c r="F310" s="17"/>
      <c r="G310" s="17"/>
      <c r="H310" s="17"/>
      <c r="I310" s="17"/>
      <c r="J310" s="17"/>
      <c r="K310" s="17"/>
      <c r="L310" s="32"/>
      <c r="M310" s="61"/>
      <c r="N310" s="23"/>
      <c r="O310" s="23"/>
      <c r="P310" s="9"/>
      <c r="Q310" s="9"/>
      <c r="R310" s="9"/>
      <c r="S310" s="9"/>
      <c r="U310" s="42" t="str">
        <f t="shared" si="36"/>
        <v>, L:, E:, S:, TS:</v>
      </c>
      <c r="V310" s="42" t="str">
        <f t="shared" si="37"/>
        <v/>
      </c>
      <c r="W310" s="43">
        <f>IFERROR(VLOOKUP(A310,Esiehdot!A$11:D$15,4,0), 0)</f>
        <v>0</v>
      </c>
      <c r="X310" s="44">
        <f>IF(Esiehdot!D$4&gt;=IFERROR(VLOOKUP(E310,Valintalistat!D$2:H$7,5,0), 99),1,0)</f>
        <v>0</v>
      </c>
      <c r="Y310" s="44">
        <f>IF(Esiehdot!D$5&gt;=IFERROR(VLOOKUP(F310,Valintalistat!E$2:H$5,4,0), 99),1,0)</f>
        <v>0</v>
      </c>
      <c r="Z310" s="44">
        <f>IF(Esiehdot!D$6&gt;=IFERROR(VLOOKUP(G310,Valintalistat!F$2:H$5,3,0),99),1,0)</f>
        <v>0</v>
      </c>
      <c r="AA310" s="44">
        <f>IF(Esiehdot!D$8&gt;=IFERROR(VLOOKUP(H310,Valintalistat!G$2:H$5,2,0),99),1,0)</f>
        <v>0</v>
      </c>
      <c r="AB310" s="43">
        <f t="shared" si="38"/>
        <v>0</v>
      </c>
      <c r="AC310" s="44">
        <f>IF(Esiehdot!E$4=IFERROR(VLOOKUP(E310,Valintalistat!D$2:H$7,5,0),99),1,0)</f>
        <v>0</v>
      </c>
      <c r="AD310" s="44">
        <f>IF(Esiehdot!E$5=IFERROR(VLOOKUP(F310,Valintalistat!E$2:H$5,4,0),99),1,0)</f>
        <v>0</v>
      </c>
      <c r="AE310" s="44">
        <f>IF(Esiehdot!E$6=IFERROR(VLOOKUP(G310,Valintalistat!F$2:H$5,3,0),99),1,0)</f>
        <v>0</v>
      </c>
      <c r="AF310" s="44">
        <f>IF(Esiehdot!E$8=IFERROR(VLOOKUP(H310,Valintalistat!G$2:H$3,2,0),98),1,0)</f>
        <v>0</v>
      </c>
      <c r="AG310" s="43">
        <f t="shared" si="39"/>
        <v>0</v>
      </c>
      <c r="AH310" s="43">
        <f>IFERROR(HLOOKUP(Esiehdot!$B$17,Käyttötapauskriteerit!G$1:P223,310,0),1)</f>
        <v>1</v>
      </c>
      <c r="AI310" s="43">
        <f t="shared" si="40"/>
        <v>0</v>
      </c>
      <c r="AJ310" s="43">
        <f t="shared" si="41"/>
        <v>0</v>
      </c>
      <c r="AK310" s="43">
        <f t="shared" si="42"/>
        <v>0</v>
      </c>
      <c r="AL310" s="43">
        <f t="shared" si="43"/>
        <v>0</v>
      </c>
      <c r="AM310" s="43"/>
      <c r="AN310" s="45" t="str">
        <f t="shared" si="44"/>
        <v/>
      </c>
    </row>
    <row r="311" spans="1:40" ht="15.6">
      <c r="A311" s="5"/>
      <c r="B311" s="5"/>
      <c r="E311" s="17"/>
      <c r="F311" s="17"/>
      <c r="G311" s="17"/>
      <c r="H311" s="17"/>
      <c r="I311" s="17"/>
      <c r="J311" s="17"/>
      <c r="K311" s="17"/>
      <c r="L311" s="32"/>
      <c r="M311" s="61"/>
      <c r="N311" s="23"/>
      <c r="O311" s="23"/>
      <c r="P311" s="9"/>
      <c r="Q311" s="9"/>
      <c r="R311" s="9"/>
      <c r="S311" s="9"/>
      <c r="U311" s="42" t="str">
        <f t="shared" si="36"/>
        <v>, L:, E:, S:, TS:</v>
      </c>
      <c r="V311" s="42" t="str">
        <f t="shared" si="37"/>
        <v/>
      </c>
      <c r="W311" s="43">
        <f>IFERROR(VLOOKUP(A311,Esiehdot!A$11:D$15,4,0), 0)</f>
        <v>0</v>
      </c>
      <c r="X311" s="44">
        <f>IF(Esiehdot!D$4&gt;=IFERROR(VLOOKUP(E311,Valintalistat!D$2:H$7,5,0), 99),1,0)</f>
        <v>0</v>
      </c>
      <c r="Y311" s="44">
        <f>IF(Esiehdot!D$5&gt;=IFERROR(VLOOKUP(F311,Valintalistat!E$2:H$5,4,0), 99),1,0)</f>
        <v>0</v>
      </c>
      <c r="Z311" s="44">
        <f>IF(Esiehdot!D$6&gt;=IFERROR(VLOOKUP(G311,Valintalistat!F$2:H$5,3,0),99),1,0)</f>
        <v>0</v>
      </c>
      <c r="AA311" s="44">
        <f>IF(Esiehdot!D$8&gt;=IFERROR(VLOOKUP(H311,Valintalistat!G$2:H$5,2,0),99),1,0)</f>
        <v>0</v>
      </c>
      <c r="AB311" s="43">
        <f t="shared" si="38"/>
        <v>0</v>
      </c>
      <c r="AC311" s="44">
        <f>IF(Esiehdot!E$4=IFERROR(VLOOKUP(E311,Valintalistat!D$2:H$7,5,0),99),1,0)</f>
        <v>0</v>
      </c>
      <c r="AD311" s="44">
        <f>IF(Esiehdot!E$5=IFERROR(VLOOKUP(F311,Valintalistat!E$2:H$5,4,0),99),1,0)</f>
        <v>0</v>
      </c>
      <c r="AE311" s="44">
        <f>IF(Esiehdot!E$6=IFERROR(VLOOKUP(G311,Valintalistat!F$2:H$5,3,0),99),1,0)</f>
        <v>0</v>
      </c>
      <c r="AF311" s="44">
        <f>IF(Esiehdot!E$8=IFERROR(VLOOKUP(H311,Valintalistat!G$2:H$3,2,0),98),1,0)</f>
        <v>0</v>
      </c>
      <c r="AG311" s="43">
        <f t="shared" si="39"/>
        <v>0</v>
      </c>
      <c r="AH311" s="43">
        <f>IFERROR(HLOOKUP(Esiehdot!$B$17,Käyttötapauskriteerit!G$1:P223,311,0),1)</f>
        <v>1</v>
      </c>
      <c r="AI311" s="43">
        <f t="shared" si="40"/>
        <v>0</v>
      </c>
      <c r="AJ311" s="43">
        <f t="shared" si="41"/>
        <v>0</v>
      </c>
      <c r="AK311" s="43">
        <f t="shared" si="42"/>
        <v>0</v>
      </c>
      <c r="AL311" s="43">
        <f t="shared" si="43"/>
        <v>0</v>
      </c>
      <c r="AM311" s="43"/>
      <c r="AN311" s="45" t="str">
        <f t="shared" si="44"/>
        <v/>
      </c>
    </row>
    <row r="312" spans="1:40" ht="15.6">
      <c r="A312" s="5"/>
      <c r="B312" s="5"/>
      <c r="E312" s="17"/>
      <c r="F312" s="17"/>
      <c r="G312" s="17"/>
      <c r="H312" s="17"/>
      <c r="I312" s="17"/>
      <c r="J312" s="17"/>
      <c r="K312" s="17"/>
      <c r="L312" s="32"/>
      <c r="M312" s="61"/>
      <c r="N312" s="23"/>
      <c r="O312" s="23"/>
      <c r="P312" s="9"/>
      <c r="Q312" s="9"/>
      <c r="R312" s="9"/>
      <c r="S312" s="9"/>
      <c r="U312" s="42" t="str">
        <f t="shared" si="36"/>
        <v>, L:, E:, S:, TS:</v>
      </c>
      <c r="V312" s="42" t="str">
        <f t="shared" si="37"/>
        <v/>
      </c>
      <c r="W312" s="43">
        <f>IFERROR(VLOOKUP(A312,Esiehdot!A$11:D$15,4,0), 0)</f>
        <v>0</v>
      </c>
      <c r="X312" s="44">
        <f>IF(Esiehdot!D$4&gt;=IFERROR(VLOOKUP(E312,Valintalistat!D$2:H$7,5,0), 99),1,0)</f>
        <v>0</v>
      </c>
      <c r="Y312" s="44">
        <f>IF(Esiehdot!D$5&gt;=IFERROR(VLOOKUP(F312,Valintalistat!E$2:H$5,4,0), 99),1,0)</f>
        <v>0</v>
      </c>
      <c r="Z312" s="44">
        <f>IF(Esiehdot!D$6&gt;=IFERROR(VLOOKUP(G312,Valintalistat!F$2:H$5,3,0),99),1,0)</f>
        <v>0</v>
      </c>
      <c r="AA312" s="44">
        <f>IF(Esiehdot!D$8&gt;=IFERROR(VLOOKUP(H312,Valintalistat!G$2:H$5,2,0),99),1,0)</f>
        <v>0</v>
      </c>
      <c r="AB312" s="43">
        <f t="shared" si="38"/>
        <v>0</v>
      </c>
      <c r="AC312" s="44">
        <f>IF(Esiehdot!E$4=IFERROR(VLOOKUP(E312,Valintalistat!D$2:H$7,5,0),99),1,0)</f>
        <v>0</v>
      </c>
      <c r="AD312" s="44">
        <f>IF(Esiehdot!E$5=IFERROR(VLOOKUP(F312,Valintalistat!E$2:H$5,4,0),99),1,0)</f>
        <v>0</v>
      </c>
      <c r="AE312" s="44">
        <f>IF(Esiehdot!E$6=IFERROR(VLOOKUP(G312,Valintalistat!F$2:H$5,3,0),99),1,0)</f>
        <v>0</v>
      </c>
      <c r="AF312" s="44">
        <f>IF(Esiehdot!E$8=IFERROR(VLOOKUP(H312,Valintalistat!G$2:H$3,2,0),98),1,0)</f>
        <v>0</v>
      </c>
      <c r="AG312" s="43">
        <f t="shared" si="39"/>
        <v>0</v>
      </c>
      <c r="AH312" s="43">
        <f>IFERROR(HLOOKUP(Esiehdot!$B$17,Käyttötapauskriteerit!G$1:P223,312,0),1)</f>
        <v>1</v>
      </c>
      <c r="AI312" s="43">
        <f t="shared" si="40"/>
        <v>0</v>
      </c>
      <c r="AJ312" s="43">
        <f t="shared" si="41"/>
        <v>0</v>
      </c>
      <c r="AK312" s="43">
        <f t="shared" si="42"/>
        <v>0</v>
      </c>
      <c r="AL312" s="43">
        <f t="shared" si="43"/>
        <v>0</v>
      </c>
      <c r="AM312" s="43"/>
      <c r="AN312" s="45" t="str">
        <f t="shared" si="44"/>
        <v/>
      </c>
    </row>
    <row r="313" spans="1:40" ht="15.6">
      <c r="A313" s="5"/>
      <c r="B313" s="5"/>
      <c r="E313" s="17"/>
      <c r="F313" s="17"/>
      <c r="G313" s="17"/>
      <c r="H313" s="17"/>
      <c r="I313" s="17"/>
      <c r="J313" s="17"/>
      <c r="K313" s="17"/>
      <c r="L313" s="32"/>
      <c r="M313" s="61"/>
      <c r="N313" s="23"/>
      <c r="O313" s="23"/>
      <c r="P313" s="9"/>
      <c r="Q313" s="9"/>
      <c r="R313" s="9"/>
      <c r="S313" s="9"/>
      <c r="U313" s="42" t="str">
        <f t="shared" si="36"/>
        <v>, L:, E:, S:, TS:</v>
      </c>
      <c r="V313" s="42" t="str">
        <f t="shared" si="37"/>
        <v/>
      </c>
      <c r="W313" s="43">
        <f>IFERROR(VLOOKUP(A313,Esiehdot!A$11:D$15,4,0), 0)</f>
        <v>0</v>
      </c>
      <c r="X313" s="44">
        <f>IF(Esiehdot!D$4&gt;=IFERROR(VLOOKUP(E313,Valintalistat!D$2:H$7,5,0), 99),1,0)</f>
        <v>0</v>
      </c>
      <c r="Y313" s="44">
        <f>IF(Esiehdot!D$5&gt;=IFERROR(VLOOKUP(F313,Valintalistat!E$2:H$5,4,0), 99),1,0)</f>
        <v>0</v>
      </c>
      <c r="Z313" s="44">
        <f>IF(Esiehdot!D$6&gt;=IFERROR(VLOOKUP(G313,Valintalistat!F$2:H$5,3,0),99),1,0)</f>
        <v>0</v>
      </c>
      <c r="AA313" s="44">
        <f>IF(Esiehdot!D$8&gt;=IFERROR(VLOOKUP(H313,Valintalistat!G$2:H$5,2,0),99),1,0)</f>
        <v>0</v>
      </c>
      <c r="AB313" s="43">
        <f t="shared" si="38"/>
        <v>0</v>
      </c>
      <c r="AC313" s="44">
        <f>IF(Esiehdot!E$4=IFERROR(VLOOKUP(E313,Valintalistat!D$2:H$7,5,0),99),1,0)</f>
        <v>0</v>
      </c>
      <c r="AD313" s="44">
        <f>IF(Esiehdot!E$5=IFERROR(VLOOKUP(F313,Valintalistat!E$2:H$5,4,0),99),1,0)</f>
        <v>0</v>
      </c>
      <c r="AE313" s="44">
        <f>IF(Esiehdot!E$6=IFERROR(VLOOKUP(G313,Valintalistat!F$2:H$5,3,0),99),1,0)</f>
        <v>0</v>
      </c>
      <c r="AF313" s="44">
        <f>IF(Esiehdot!E$8=IFERROR(VLOOKUP(H313,Valintalistat!G$2:H$3,2,0),98),1,0)</f>
        <v>0</v>
      </c>
      <c r="AG313" s="43">
        <f t="shared" si="39"/>
        <v>0</v>
      </c>
      <c r="AH313" s="43">
        <f>IFERROR(HLOOKUP(Esiehdot!$B$17,Käyttötapauskriteerit!G$1:P223,313,0),1)</f>
        <v>1</v>
      </c>
      <c r="AI313" s="43">
        <f t="shared" si="40"/>
        <v>0</v>
      </c>
      <c r="AJ313" s="43">
        <f t="shared" si="41"/>
        <v>0</v>
      </c>
      <c r="AK313" s="43">
        <f t="shared" si="42"/>
        <v>0</v>
      </c>
      <c r="AL313" s="43">
        <f t="shared" si="43"/>
        <v>0</v>
      </c>
      <c r="AM313" s="43"/>
      <c r="AN313" s="45" t="str">
        <f t="shared" si="44"/>
        <v/>
      </c>
    </row>
    <row r="314" spans="1:40" ht="15.6">
      <c r="A314" s="5"/>
      <c r="B314" s="5"/>
      <c r="E314" s="17"/>
      <c r="F314" s="17"/>
      <c r="G314" s="17"/>
      <c r="H314" s="17"/>
      <c r="I314" s="17"/>
      <c r="J314" s="17"/>
      <c r="K314" s="17"/>
      <c r="L314" s="32"/>
      <c r="M314" s="61"/>
      <c r="N314" s="23"/>
      <c r="O314" s="23"/>
      <c r="P314" s="9"/>
      <c r="Q314" s="9"/>
      <c r="R314" s="9"/>
      <c r="S314" s="9"/>
      <c r="U314" s="42" t="str">
        <f t="shared" si="36"/>
        <v>, L:, E:, S:, TS:</v>
      </c>
      <c r="V314" s="42" t="str">
        <f t="shared" si="37"/>
        <v/>
      </c>
      <c r="W314" s="43">
        <f>IFERROR(VLOOKUP(A314,Esiehdot!A$11:D$15,4,0), 0)</f>
        <v>0</v>
      </c>
      <c r="X314" s="44">
        <f>IF(Esiehdot!D$4&gt;=IFERROR(VLOOKUP(E314,Valintalistat!D$2:H$7,5,0), 99),1,0)</f>
        <v>0</v>
      </c>
      <c r="Y314" s="44">
        <f>IF(Esiehdot!D$5&gt;=IFERROR(VLOOKUP(F314,Valintalistat!E$2:H$5,4,0), 99),1,0)</f>
        <v>0</v>
      </c>
      <c r="Z314" s="44">
        <f>IF(Esiehdot!D$6&gt;=IFERROR(VLOOKUP(G314,Valintalistat!F$2:H$5,3,0),99),1,0)</f>
        <v>0</v>
      </c>
      <c r="AA314" s="44">
        <f>IF(Esiehdot!D$8&gt;=IFERROR(VLOOKUP(H314,Valintalistat!G$2:H$5,2,0),99),1,0)</f>
        <v>0</v>
      </c>
      <c r="AB314" s="43">
        <f t="shared" si="38"/>
        <v>0</v>
      </c>
      <c r="AC314" s="44">
        <f>IF(Esiehdot!E$4=IFERROR(VLOOKUP(E314,Valintalistat!D$2:H$7,5,0),99),1,0)</f>
        <v>0</v>
      </c>
      <c r="AD314" s="44">
        <f>IF(Esiehdot!E$5=IFERROR(VLOOKUP(F314,Valintalistat!E$2:H$5,4,0),99),1,0)</f>
        <v>0</v>
      </c>
      <c r="AE314" s="44">
        <f>IF(Esiehdot!E$6=IFERROR(VLOOKUP(G314,Valintalistat!F$2:H$5,3,0),99),1,0)</f>
        <v>0</v>
      </c>
      <c r="AF314" s="44">
        <f>IF(Esiehdot!E$8=IFERROR(VLOOKUP(H314,Valintalistat!G$2:H$3,2,0),98),1,0)</f>
        <v>0</v>
      </c>
      <c r="AG314" s="43">
        <f t="shared" si="39"/>
        <v>0</v>
      </c>
      <c r="AH314" s="43">
        <f>IFERROR(HLOOKUP(Esiehdot!$B$17,Käyttötapauskriteerit!G$1:P223,314,0),1)</f>
        <v>1</v>
      </c>
      <c r="AI314" s="43">
        <f t="shared" si="40"/>
        <v>0</v>
      </c>
      <c r="AJ314" s="43">
        <f t="shared" si="41"/>
        <v>0</v>
      </c>
      <c r="AK314" s="43">
        <f t="shared" si="42"/>
        <v>0</v>
      </c>
      <c r="AL314" s="43">
        <f t="shared" si="43"/>
        <v>0</v>
      </c>
      <c r="AM314" s="43"/>
      <c r="AN314" s="45" t="str">
        <f t="shared" si="44"/>
        <v/>
      </c>
    </row>
    <row r="315" spans="1:40" ht="15.6">
      <c r="A315" s="5"/>
      <c r="B315" s="5"/>
      <c r="E315" s="17"/>
      <c r="F315" s="17"/>
      <c r="G315" s="17"/>
      <c r="H315" s="17"/>
      <c r="I315" s="17"/>
      <c r="J315" s="17"/>
      <c r="K315" s="17"/>
      <c r="L315" s="32"/>
      <c r="M315" s="61"/>
      <c r="N315" s="23"/>
      <c r="O315" s="23"/>
      <c r="P315" s="9"/>
      <c r="Q315" s="9"/>
      <c r="R315" s="9"/>
      <c r="S315" s="9"/>
      <c r="U315" s="42" t="str">
        <f t="shared" si="36"/>
        <v>, L:, E:, S:, TS:</v>
      </c>
      <c r="V315" s="42" t="str">
        <f t="shared" si="37"/>
        <v/>
      </c>
      <c r="W315" s="43">
        <f>IFERROR(VLOOKUP(A315,Esiehdot!A$11:D$15,4,0), 0)</f>
        <v>0</v>
      </c>
      <c r="X315" s="44">
        <f>IF(Esiehdot!D$4&gt;=IFERROR(VLOOKUP(E315,Valintalistat!D$2:H$7,5,0), 99),1,0)</f>
        <v>0</v>
      </c>
      <c r="Y315" s="44">
        <f>IF(Esiehdot!D$5&gt;=IFERROR(VLOOKUP(F315,Valintalistat!E$2:H$5,4,0), 99),1,0)</f>
        <v>0</v>
      </c>
      <c r="Z315" s="44">
        <f>IF(Esiehdot!D$6&gt;=IFERROR(VLOOKUP(G315,Valintalistat!F$2:H$5,3,0),99),1,0)</f>
        <v>0</v>
      </c>
      <c r="AA315" s="44">
        <f>IF(Esiehdot!D$8&gt;=IFERROR(VLOOKUP(H315,Valintalistat!G$2:H$5,2,0),99),1,0)</f>
        <v>0</v>
      </c>
      <c r="AB315" s="43">
        <f t="shared" si="38"/>
        <v>0</v>
      </c>
      <c r="AC315" s="44">
        <f>IF(Esiehdot!E$4=IFERROR(VLOOKUP(E315,Valintalistat!D$2:H$7,5,0),99),1,0)</f>
        <v>0</v>
      </c>
      <c r="AD315" s="44">
        <f>IF(Esiehdot!E$5=IFERROR(VLOOKUP(F315,Valintalistat!E$2:H$5,4,0),99),1,0)</f>
        <v>0</v>
      </c>
      <c r="AE315" s="44">
        <f>IF(Esiehdot!E$6=IFERROR(VLOOKUP(G315,Valintalistat!F$2:H$5,3,0),99),1,0)</f>
        <v>0</v>
      </c>
      <c r="AF315" s="44">
        <f>IF(Esiehdot!E$8=IFERROR(VLOOKUP(H315,Valintalistat!G$2:H$3,2,0),98),1,0)</f>
        <v>0</v>
      </c>
      <c r="AG315" s="43">
        <f t="shared" si="39"/>
        <v>0</v>
      </c>
      <c r="AH315" s="43">
        <f>IFERROR(HLOOKUP(Esiehdot!$B$17,Käyttötapauskriteerit!G$1:P223,315,0),1)</f>
        <v>1</v>
      </c>
      <c r="AI315" s="43">
        <f t="shared" si="40"/>
        <v>0</v>
      </c>
      <c r="AJ315" s="43">
        <f t="shared" si="41"/>
        <v>0</v>
      </c>
      <c r="AK315" s="43">
        <f t="shared" si="42"/>
        <v>0</v>
      </c>
      <c r="AL315" s="43">
        <f t="shared" si="43"/>
        <v>0</v>
      </c>
      <c r="AM315" s="43"/>
      <c r="AN315" s="45" t="str">
        <f t="shared" si="44"/>
        <v/>
      </c>
    </row>
    <row r="316" spans="1:40" ht="15.6">
      <c r="A316" s="5"/>
      <c r="B316" s="5"/>
      <c r="E316" s="17"/>
      <c r="F316" s="17"/>
      <c r="G316" s="17"/>
      <c r="H316" s="17"/>
      <c r="I316" s="17"/>
      <c r="J316" s="17"/>
      <c r="K316" s="17"/>
      <c r="L316" s="32"/>
      <c r="M316" s="61"/>
      <c r="N316" s="23"/>
      <c r="O316" s="23"/>
      <c r="P316" s="9"/>
      <c r="Q316" s="9"/>
      <c r="R316" s="9"/>
      <c r="S316" s="9"/>
      <c r="U316" s="42" t="str">
        <f t="shared" si="36"/>
        <v>, L:, E:, S:, TS:</v>
      </c>
      <c r="V316" s="42" t="str">
        <f t="shared" si="37"/>
        <v/>
      </c>
      <c r="W316" s="43">
        <f>IFERROR(VLOOKUP(A316,Esiehdot!A$11:D$15,4,0), 0)</f>
        <v>0</v>
      </c>
      <c r="X316" s="44">
        <f>IF(Esiehdot!D$4&gt;=IFERROR(VLOOKUP(E316,Valintalistat!D$2:H$7,5,0), 99),1,0)</f>
        <v>0</v>
      </c>
      <c r="Y316" s="44">
        <f>IF(Esiehdot!D$5&gt;=IFERROR(VLOOKUP(F316,Valintalistat!E$2:H$5,4,0), 99),1,0)</f>
        <v>0</v>
      </c>
      <c r="Z316" s="44">
        <f>IF(Esiehdot!D$6&gt;=IFERROR(VLOOKUP(G316,Valintalistat!F$2:H$5,3,0),99),1,0)</f>
        <v>0</v>
      </c>
      <c r="AA316" s="44">
        <f>IF(Esiehdot!D$8&gt;=IFERROR(VLOOKUP(H316,Valintalistat!G$2:H$5,2,0),99),1,0)</f>
        <v>0</v>
      </c>
      <c r="AB316" s="43">
        <f t="shared" si="38"/>
        <v>0</v>
      </c>
      <c r="AC316" s="44">
        <f>IF(Esiehdot!E$4=IFERROR(VLOOKUP(E316,Valintalistat!D$2:H$7,5,0),99),1,0)</f>
        <v>0</v>
      </c>
      <c r="AD316" s="44">
        <f>IF(Esiehdot!E$5=IFERROR(VLOOKUP(F316,Valintalistat!E$2:H$5,4,0),99),1,0)</f>
        <v>0</v>
      </c>
      <c r="AE316" s="44">
        <f>IF(Esiehdot!E$6=IFERROR(VLOOKUP(G316,Valintalistat!F$2:H$5,3,0),99),1,0)</f>
        <v>0</v>
      </c>
      <c r="AF316" s="44">
        <f>IF(Esiehdot!E$8=IFERROR(VLOOKUP(H316,Valintalistat!G$2:H$3,2,0),98),1,0)</f>
        <v>0</v>
      </c>
      <c r="AG316" s="43">
        <f t="shared" si="39"/>
        <v>0</v>
      </c>
      <c r="AH316" s="43">
        <f>IFERROR(HLOOKUP(Esiehdot!$B$17,Käyttötapauskriteerit!G$1:P223,316,0),1)</f>
        <v>1</v>
      </c>
      <c r="AI316" s="43">
        <f t="shared" si="40"/>
        <v>0</v>
      </c>
      <c r="AJ316" s="43">
        <f t="shared" si="41"/>
        <v>0</v>
      </c>
      <c r="AK316" s="43">
        <f t="shared" si="42"/>
        <v>0</v>
      </c>
      <c r="AL316" s="43">
        <f t="shared" si="43"/>
        <v>0</v>
      </c>
      <c r="AM316" s="43"/>
      <c r="AN316" s="45" t="str">
        <f t="shared" si="44"/>
        <v/>
      </c>
    </row>
    <row r="317" spans="1:40" ht="15.6">
      <c r="A317" s="5"/>
      <c r="B317" s="5"/>
      <c r="E317" s="17"/>
      <c r="F317" s="17"/>
      <c r="G317" s="17"/>
      <c r="H317" s="17"/>
      <c r="I317" s="17"/>
      <c r="J317" s="17"/>
      <c r="K317" s="17"/>
      <c r="L317" s="32"/>
      <c r="M317" s="61"/>
      <c r="N317" s="23"/>
      <c r="O317" s="23"/>
      <c r="P317" s="9"/>
      <c r="Q317" s="9"/>
      <c r="R317" s="9"/>
      <c r="S317" s="9"/>
      <c r="U317" s="42" t="str">
        <f t="shared" si="36"/>
        <v>, L:, E:, S:, TS:</v>
      </c>
      <c r="V317" s="42" t="str">
        <f t="shared" si="37"/>
        <v/>
      </c>
      <c r="W317" s="43">
        <f>IFERROR(VLOOKUP(A317,Esiehdot!A$11:D$15,4,0), 0)</f>
        <v>0</v>
      </c>
      <c r="X317" s="44">
        <f>IF(Esiehdot!D$4&gt;=IFERROR(VLOOKUP(E317,Valintalistat!D$2:H$7,5,0), 99),1,0)</f>
        <v>0</v>
      </c>
      <c r="Y317" s="44">
        <f>IF(Esiehdot!D$5&gt;=IFERROR(VLOOKUP(F317,Valintalistat!E$2:H$5,4,0), 99),1,0)</f>
        <v>0</v>
      </c>
      <c r="Z317" s="44">
        <f>IF(Esiehdot!D$6&gt;=IFERROR(VLOOKUP(G317,Valintalistat!F$2:H$5,3,0),99),1,0)</f>
        <v>0</v>
      </c>
      <c r="AA317" s="44">
        <f>IF(Esiehdot!D$8&gt;=IFERROR(VLOOKUP(H317,Valintalistat!G$2:H$5,2,0),99),1,0)</f>
        <v>0</v>
      </c>
      <c r="AB317" s="43">
        <f t="shared" si="38"/>
        <v>0</v>
      </c>
      <c r="AC317" s="44">
        <f>IF(Esiehdot!E$4=IFERROR(VLOOKUP(E317,Valintalistat!D$2:H$7,5,0),99),1,0)</f>
        <v>0</v>
      </c>
      <c r="AD317" s="44">
        <f>IF(Esiehdot!E$5=IFERROR(VLOOKUP(F317,Valintalistat!E$2:H$5,4,0),99),1,0)</f>
        <v>0</v>
      </c>
      <c r="AE317" s="44">
        <f>IF(Esiehdot!E$6=IFERROR(VLOOKUP(G317,Valintalistat!F$2:H$5,3,0),99),1,0)</f>
        <v>0</v>
      </c>
      <c r="AF317" s="44">
        <f>IF(Esiehdot!E$8=IFERROR(VLOOKUP(H317,Valintalistat!G$2:H$3,2,0),98),1,0)</f>
        <v>0</v>
      </c>
      <c r="AG317" s="43">
        <f t="shared" si="39"/>
        <v>0</v>
      </c>
      <c r="AH317" s="43">
        <f>IFERROR(HLOOKUP(Esiehdot!$B$17,Käyttötapauskriteerit!G$1:P223,317,0),1)</f>
        <v>1</v>
      </c>
      <c r="AI317" s="43">
        <f t="shared" si="40"/>
        <v>0</v>
      </c>
      <c r="AJ317" s="43">
        <f t="shared" si="41"/>
        <v>0</v>
      </c>
      <c r="AK317" s="43">
        <f t="shared" si="42"/>
        <v>0</v>
      </c>
      <c r="AL317" s="43">
        <f t="shared" si="43"/>
        <v>0</v>
      </c>
      <c r="AM317" s="43"/>
      <c r="AN317" s="45" t="str">
        <f t="shared" si="44"/>
        <v/>
      </c>
    </row>
    <row r="318" spans="1:40" ht="15.6">
      <c r="A318" s="5"/>
      <c r="B318" s="5"/>
      <c r="E318" s="17"/>
      <c r="F318" s="17"/>
      <c r="G318" s="17"/>
      <c r="H318" s="17"/>
      <c r="I318" s="17"/>
      <c r="J318" s="17"/>
      <c r="K318" s="17"/>
      <c r="L318" s="32"/>
      <c r="M318" s="61"/>
      <c r="N318" s="23"/>
      <c r="O318" s="23"/>
      <c r="P318" s="9"/>
      <c r="Q318" s="9"/>
      <c r="R318" s="9"/>
      <c r="S318" s="9"/>
      <c r="U318" s="42" t="str">
        <f t="shared" si="36"/>
        <v>, L:, E:, S:, TS:</v>
      </c>
      <c r="V318" s="42" t="str">
        <f t="shared" si="37"/>
        <v/>
      </c>
      <c r="W318" s="43">
        <f>IFERROR(VLOOKUP(A318,Esiehdot!A$11:D$15,4,0), 0)</f>
        <v>0</v>
      </c>
      <c r="X318" s="44">
        <f>IF(Esiehdot!D$4&gt;=IFERROR(VLOOKUP(E318,Valintalistat!D$2:H$7,5,0), 99),1,0)</f>
        <v>0</v>
      </c>
      <c r="Y318" s="44">
        <f>IF(Esiehdot!D$5&gt;=IFERROR(VLOOKUP(F318,Valintalistat!E$2:H$5,4,0), 99),1,0)</f>
        <v>0</v>
      </c>
      <c r="Z318" s="44">
        <f>IF(Esiehdot!D$6&gt;=IFERROR(VLOOKUP(G318,Valintalistat!F$2:H$5,3,0),99),1,0)</f>
        <v>0</v>
      </c>
      <c r="AA318" s="44">
        <f>IF(Esiehdot!D$8&gt;=IFERROR(VLOOKUP(H318,Valintalistat!G$2:H$5,2,0),99),1,0)</f>
        <v>0</v>
      </c>
      <c r="AB318" s="43">
        <f t="shared" si="38"/>
        <v>0</v>
      </c>
      <c r="AC318" s="44">
        <f>IF(Esiehdot!E$4=IFERROR(VLOOKUP(E318,Valintalistat!D$2:H$7,5,0),99),1,0)</f>
        <v>0</v>
      </c>
      <c r="AD318" s="44">
        <f>IF(Esiehdot!E$5=IFERROR(VLOOKUP(F318,Valintalistat!E$2:H$5,4,0),99),1,0)</f>
        <v>0</v>
      </c>
      <c r="AE318" s="44">
        <f>IF(Esiehdot!E$6=IFERROR(VLOOKUP(G318,Valintalistat!F$2:H$5,3,0),99),1,0)</f>
        <v>0</v>
      </c>
      <c r="AF318" s="44">
        <f>IF(Esiehdot!E$8=IFERROR(VLOOKUP(H318,Valintalistat!G$2:H$3,2,0),98),1,0)</f>
        <v>0</v>
      </c>
      <c r="AG318" s="43">
        <f t="shared" si="39"/>
        <v>0</v>
      </c>
      <c r="AH318" s="43">
        <f>IFERROR(HLOOKUP(Esiehdot!$B$17,Käyttötapauskriteerit!G$1:P223,318,0),1)</f>
        <v>1</v>
      </c>
      <c r="AI318" s="43">
        <f t="shared" si="40"/>
        <v>0</v>
      </c>
      <c r="AJ318" s="43">
        <f t="shared" si="41"/>
        <v>0</v>
      </c>
      <c r="AK318" s="43">
        <f t="shared" si="42"/>
        <v>0</v>
      </c>
      <c r="AL318" s="43">
        <f t="shared" si="43"/>
        <v>0</v>
      </c>
      <c r="AM318" s="43"/>
      <c r="AN318" s="45" t="str">
        <f t="shared" si="44"/>
        <v/>
      </c>
    </row>
    <row r="319" spans="1:40" ht="15.6">
      <c r="A319" s="5"/>
      <c r="B319" s="5"/>
      <c r="E319" s="17"/>
      <c r="F319" s="17"/>
      <c r="G319" s="17"/>
      <c r="H319" s="17"/>
      <c r="I319" s="17"/>
      <c r="J319" s="17"/>
      <c r="K319" s="17"/>
      <c r="L319" s="32"/>
      <c r="M319" s="61"/>
      <c r="N319" s="23"/>
      <c r="O319" s="23"/>
      <c r="P319" s="9"/>
      <c r="Q319" s="9"/>
      <c r="R319" s="9"/>
      <c r="S319" s="9"/>
      <c r="U319" s="42" t="str">
        <f t="shared" si="36"/>
        <v>, L:, E:, S:, TS:</v>
      </c>
      <c r="V319" s="42" t="str">
        <f t="shared" si="37"/>
        <v/>
      </c>
      <c r="W319" s="43">
        <f>IFERROR(VLOOKUP(A319,Esiehdot!A$11:D$15,4,0), 0)</f>
        <v>0</v>
      </c>
      <c r="X319" s="44">
        <f>IF(Esiehdot!D$4&gt;=IFERROR(VLOOKUP(E319,Valintalistat!D$2:H$7,5,0), 99),1,0)</f>
        <v>0</v>
      </c>
      <c r="Y319" s="44">
        <f>IF(Esiehdot!D$5&gt;=IFERROR(VLOOKUP(F319,Valintalistat!E$2:H$5,4,0), 99),1,0)</f>
        <v>0</v>
      </c>
      <c r="Z319" s="44">
        <f>IF(Esiehdot!D$6&gt;=IFERROR(VLOOKUP(G319,Valintalistat!F$2:H$5,3,0),99),1,0)</f>
        <v>0</v>
      </c>
      <c r="AA319" s="44">
        <f>IF(Esiehdot!D$8&gt;=IFERROR(VLOOKUP(H319,Valintalistat!G$2:H$5,2,0),99),1,0)</f>
        <v>0</v>
      </c>
      <c r="AB319" s="43">
        <f t="shared" si="38"/>
        <v>0</v>
      </c>
      <c r="AC319" s="44">
        <f>IF(Esiehdot!E$4=IFERROR(VLOOKUP(E319,Valintalistat!D$2:H$7,5,0),99),1,0)</f>
        <v>0</v>
      </c>
      <c r="AD319" s="44">
        <f>IF(Esiehdot!E$5=IFERROR(VLOOKUP(F319,Valintalistat!E$2:H$5,4,0),99),1,0)</f>
        <v>0</v>
      </c>
      <c r="AE319" s="44">
        <f>IF(Esiehdot!E$6=IFERROR(VLOOKUP(G319,Valintalistat!F$2:H$5,3,0),99),1,0)</f>
        <v>0</v>
      </c>
      <c r="AF319" s="44">
        <f>IF(Esiehdot!E$8=IFERROR(VLOOKUP(H319,Valintalistat!G$2:H$3,2,0),98),1,0)</f>
        <v>0</v>
      </c>
      <c r="AG319" s="43">
        <f t="shared" si="39"/>
        <v>0</v>
      </c>
      <c r="AH319" s="43">
        <f>IFERROR(HLOOKUP(Esiehdot!$B$17,Käyttötapauskriteerit!G$1:P223,319,0),1)</f>
        <v>1</v>
      </c>
      <c r="AI319" s="43">
        <f t="shared" si="40"/>
        <v>0</v>
      </c>
      <c r="AJ319" s="43">
        <f t="shared" si="41"/>
        <v>0</v>
      </c>
      <c r="AK319" s="43">
        <f t="shared" si="42"/>
        <v>0</v>
      </c>
      <c r="AL319" s="43">
        <f t="shared" si="43"/>
        <v>0</v>
      </c>
      <c r="AM319" s="43"/>
      <c r="AN319" s="45" t="str">
        <f t="shared" si="44"/>
        <v/>
      </c>
    </row>
    <row r="320" spans="1:40" ht="15.6">
      <c r="A320" s="5"/>
      <c r="B320" s="5"/>
      <c r="E320" s="17"/>
      <c r="F320" s="17"/>
      <c r="G320" s="17"/>
      <c r="H320" s="17"/>
      <c r="I320" s="17"/>
      <c r="J320" s="17"/>
      <c r="K320" s="17"/>
      <c r="L320" s="32"/>
      <c r="M320" s="61"/>
      <c r="N320" s="23"/>
      <c r="O320" s="23"/>
      <c r="P320" s="9"/>
      <c r="Q320" s="9"/>
      <c r="R320" s="9"/>
      <c r="S320" s="9"/>
      <c r="U320" s="42" t="str">
        <f t="shared" si="36"/>
        <v>, L:, E:, S:, TS:</v>
      </c>
      <c r="V320" s="42" t="str">
        <f t="shared" si="37"/>
        <v/>
      </c>
      <c r="W320" s="43">
        <f>IFERROR(VLOOKUP(A320,Esiehdot!A$11:D$15,4,0), 0)</f>
        <v>0</v>
      </c>
      <c r="X320" s="44">
        <f>IF(Esiehdot!D$4&gt;=IFERROR(VLOOKUP(E320,Valintalistat!D$2:H$7,5,0), 99),1,0)</f>
        <v>0</v>
      </c>
      <c r="Y320" s="44">
        <f>IF(Esiehdot!D$5&gt;=IFERROR(VLOOKUP(F320,Valintalistat!E$2:H$5,4,0), 99),1,0)</f>
        <v>0</v>
      </c>
      <c r="Z320" s="44">
        <f>IF(Esiehdot!D$6&gt;=IFERROR(VLOOKUP(G320,Valintalistat!F$2:H$5,3,0),99),1,0)</f>
        <v>0</v>
      </c>
      <c r="AA320" s="44">
        <f>IF(Esiehdot!D$8&gt;=IFERROR(VLOOKUP(H320,Valintalistat!G$2:H$5,2,0),99),1,0)</f>
        <v>0</v>
      </c>
      <c r="AB320" s="43">
        <f t="shared" si="38"/>
        <v>0</v>
      </c>
      <c r="AC320" s="44">
        <f>IF(Esiehdot!E$4=IFERROR(VLOOKUP(E320,Valintalistat!D$2:H$7,5,0),99),1,0)</f>
        <v>0</v>
      </c>
      <c r="AD320" s="44">
        <f>IF(Esiehdot!E$5=IFERROR(VLOOKUP(F320,Valintalistat!E$2:H$5,4,0),99),1,0)</f>
        <v>0</v>
      </c>
      <c r="AE320" s="44">
        <f>IF(Esiehdot!E$6=IFERROR(VLOOKUP(G320,Valintalistat!F$2:H$5,3,0),99),1,0)</f>
        <v>0</v>
      </c>
      <c r="AF320" s="44">
        <f>IF(Esiehdot!E$8=IFERROR(VLOOKUP(H320,Valintalistat!G$2:H$3,2,0),98),1,0)</f>
        <v>0</v>
      </c>
      <c r="AG320" s="43">
        <f t="shared" si="39"/>
        <v>0</v>
      </c>
      <c r="AH320" s="43">
        <f>IFERROR(HLOOKUP(Esiehdot!$B$17,Käyttötapauskriteerit!G$1:P223,320,0),1)</f>
        <v>1</v>
      </c>
      <c r="AI320" s="43">
        <f t="shared" si="40"/>
        <v>0</v>
      </c>
      <c r="AJ320" s="43">
        <f t="shared" si="41"/>
        <v>0</v>
      </c>
      <c r="AK320" s="43">
        <f t="shared" si="42"/>
        <v>0</v>
      </c>
      <c r="AL320" s="43">
        <f t="shared" si="43"/>
        <v>0</v>
      </c>
      <c r="AM320" s="43"/>
      <c r="AN320" s="45" t="str">
        <f t="shared" si="44"/>
        <v/>
      </c>
    </row>
    <row r="321" spans="1:40" ht="15.6">
      <c r="A321" s="5"/>
      <c r="B321" s="5"/>
      <c r="E321" s="17"/>
      <c r="F321" s="17"/>
      <c r="G321" s="17"/>
      <c r="H321" s="17"/>
      <c r="I321" s="17"/>
      <c r="J321" s="17"/>
      <c r="K321" s="17"/>
      <c r="L321" s="32"/>
      <c r="M321" s="61"/>
      <c r="N321" s="23"/>
      <c r="O321" s="23"/>
      <c r="P321" s="9"/>
      <c r="Q321" s="9"/>
      <c r="R321" s="9"/>
      <c r="S321" s="9"/>
      <c r="U321" s="42" t="str">
        <f t="shared" si="36"/>
        <v>, L:, E:, S:, TS:</v>
      </c>
      <c r="V321" s="42" t="str">
        <f t="shared" si="37"/>
        <v/>
      </c>
      <c r="W321" s="43">
        <f>IFERROR(VLOOKUP(A321,Esiehdot!A$11:D$15,4,0), 0)</f>
        <v>0</v>
      </c>
      <c r="X321" s="44">
        <f>IF(Esiehdot!D$4&gt;=IFERROR(VLOOKUP(E321,Valintalistat!D$2:H$7,5,0), 99),1,0)</f>
        <v>0</v>
      </c>
      <c r="Y321" s="44">
        <f>IF(Esiehdot!D$5&gt;=IFERROR(VLOOKUP(F321,Valintalistat!E$2:H$5,4,0), 99),1,0)</f>
        <v>0</v>
      </c>
      <c r="Z321" s="44">
        <f>IF(Esiehdot!D$6&gt;=IFERROR(VLOOKUP(G321,Valintalistat!F$2:H$5,3,0),99),1,0)</f>
        <v>0</v>
      </c>
      <c r="AA321" s="44">
        <f>IF(Esiehdot!D$8&gt;=IFERROR(VLOOKUP(H321,Valintalistat!G$2:H$5,2,0),99),1,0)</f>
        <v>0</v>
      </c>
      <c r="AB321" s="43">
        <f t="shared" si="38"/>
        <v>0</v>
      </c>
      <c r="AC321" s="44">
        <f>IF(Esiehdot!E$4=IFERROR(VLOOKUP(E321,Valintalistat!D$2:H$7,5,0),99),1,0)</f>
        <v>0</v>
      </c>
      <c r="AD321" s="44">
        <f>IF(Esiehdot!E$5=IFERROR(VLOOKUP(F321,Valintalistat!E$2:H$5,4,0),99),1,0)</f>
        <v>0</v>
      </c>
      <c r="AE321" s="44">
        <f>IF(Esiehdot!E$6=IFERROR(VLOOKUP(G321,Valintalistat!F$2:H$5,3,0),99),1,0)</f>
        <v>0</v>
      </c>
      <c r="AF321" s="44">
        <f>IF(Esiehdot!E$8=IFERROR(VLOOKUP(H321,Valintalistat!G$2:H$3,2,0),98),1,0)</f>
        <v>0</v>
      </c>
      <c r="AG321" s="43">
        <f t="shared" si="39"/>
        <v>0</v>
      </c>
      <c r="AH321" s="43">
        <f>IFERROR(HLOOKUP(Esiehdot!$B$17,Käyttötapauskriteerit!G$1:P223,321,0),1)</f>
        <v>1</v>
      </c>
      <c r="AI321" s="43">
        <f t="shared" si="40"/>
        <v>0</v>
      </c>
      <c r="AJ321" s="43">
        <f t="shared" si="41"/>
        <v>0</v>
      </c>
      <c r="AK321" s="43">
        <f t="shared" si="42"/>
        <v>0</v>
      </c>
      <c r="AL321" s="43">
        <f t="shared" si="43"/>
        <v>0</v>
      </c>
      <c r="AM321" s="43"/>
      <c r="AN321" s="45" t="str">
        <f t="shared" si="44"/>
        <v/>
      </c>
    </row>
    <row r="322" spans="1:40" ht="15.6">
      <c r="A322" s="5"/>
      <c r="B322" s="5"/>
      <c r="E322" s="17"/>
      <c r="F322" s="17"/>
      <c r="G322" s="17"/>
      <c r="H322" s="17"/>
      <c r="I322" s="17"/>
      <c r="J322" s="17"/>
      <c r="K322" s="17"/>
      <c r="L322" s="32"/>
      <c r="M322" s="61"/>
      <c r="N322" s="23"/>
      <c r="O322" s="23"/>
      <c r="P322" s="9"/>
      <c r="Q322" s="9"/>
      <c r="R322" s="9"/>
      <c r="S322" s="9"/>
      <c r="U322" s="42" t="str">
        <f t="shared" si="36"/>
        <v>, L:, E:, S:, TS:</v>
      </c>
      <c r="V322" s="42" t="str">
        <f t="shared" si="37"/>
        <v/>
      </c>
      <c r="W322" s="43">
        <f>IFERROR(VLOOKUP(A322,Esiehdot!A$11:D$15,4,0), 0)</f>
        <v>0</v>
      </c>
      <c r="X322" s="44">
        <f>IF(Esiehdot!D$4&gt;=IFERROR(VLOOKUP(E322,Valintalistat!D$2:H$7,5,0), 99),1,0)</f>
        <v>0</v>
      </c>
      <c r="Y322" s="44">
        <f>IF(Esiehdot!D$5&gt;=IFERROR(VLOOKUP(F322,Valintalistat!E$2:H$5,4,0), 99),1,0)</f>
        <v>0</v>
      </c>
      <c r="Z322" s="44">
        <f>IF(Esiehdot!D$6&gt;=IFERROR(VLOOKUP(G322,Valintalistat!F$2:H$5,3,0),99),1,0)</f>
        <v>0</v>
      </c>
      <c r="AA322" s="44">
        <f>IF(Esiehdot!D$8&gt;=IFERROR(VLOOKUP(H322,Valintalistat!G$2:H$5,2,0),99),1,0)</f>
        <v>0</v>
      </c>
      <c r="AB322" s="43">
        <f t="shared" si="38"/>
        <v>0</v>
      </c>
      <c r="AC322" s="44">
        <f>IF(Esiehdot!E$4=IFERROR(VLOOKUP(E322,Valintalistat!D$2:H$7,5,0),99),1,0)</f>
        <v>0</v>
      </c>
      <c r="AD322" s="44">
        <f>IF(Esiehdot!E$5=IFERROR(VLOOKUP(F322,Valintalistat!E$2:H$5,4,0),99),1,0)</f>
        <v>0</v>
      </c>
      <c r="AE322" s="44">
        <f>IF(Esiehdot!E$6=IFERROR(VLOOKUP(G322,Valintalistat!F$2:H$5,3,0),99),1,0)</f>
        <v>0</v>
      </c>
      <c r="AF322" s="44">
        <f>IF(Esiehdot!E$8=IFERROR(VLOOKUP(H322,Valintalistat!G$2:H$3,2,0),98),1,0)</f>
        <v>0</v>
      </c>
      <c r="AG322" s="43">
        <f t="shared" si="39"/>
        <v>0</v>
      </c>
      <c r="AH322" s="43">
        <f>IFERROR(HLOOKUP(Esiehdot!$B$17,Käyttötapauskriteerit!G$1:P223,322,0),1)</f>
        <v>1</v>
      </c>
      <c r="AI322" s="43">
        <f t="shared" si="40"/>
        <v>0</v>
      </c>
      <c r="AJ322" s="43">
        <f t="shared" si="41"/>
        <v>0</v>
      </c>
      <c r="AK322" s="43">
        <f t="shared" si="42"/>
        <v>0</v>
      </c>
      <c r="AL322" s="43">
        <f t="shared" si="43"/>
        <v>0</v>
      </c>
      <c r="AM322" s="43"/>
      <c r="AN322" s="45" t="str">
        <f t="shared" si="44"/>
        <v/>
      </c>
    </row>
    <row r="323" spans="1:40" ht="15.6">
      <c r="A323" s="5"/>
      <c r="B323" s="5"/>
      <c r="E323" s="17"/>
      <c r="F323" s="17"/>
      <c r="G323" s="17"/>
      <c r="H323" s="17"/>
      <c r="I323" s="17"/>
      <c r="J323" s="17"/>
      <c r="K323" s="17"/>
      <c r="L323" s="32"/>
      <c r="M323" s="61"/>
      <c r="N323" s="23"/>
      <c r="O323" s="23"/>
      <c r="P323" s="9"/>
      <c r="Q323" s="9"/>
      <c r="R323" s="9"/>
      <c r="S323" s="9"/>
      <c r="U323" s="42" t="str">
        <f t="shared" ref="U323:U386" si="45">CONCATENATE(C323,", L:",E323,", E:",F323,", S:",G323,", TS:",H323)</f>
        <v>, L:, E:, S:, TS:</v>
      </c>
      <c r="V323" s="42" t="str">
        <f t="shared" ref="V323:V386" si="46">IF(R323="",IF(S323="","",CONCATENATE("Katakri: ",S323)),IF(S323="",CONCATENATE("Julkri: ",R323),CONCATENATE("Julkri: ",R323,"; Katakri: ",S323)))</f>
        <v/>
      </c>
      <c r="W323" s="43">
        <f>IFERROR(VLOOKUP(A323,Esiehdot!A$11:D$15,4,0), 0)</f>
        <v>0</v>
      </c>
      <c r="X323" s="44">
        <f>IF(Esiehdot!D$4&gt;=IFERROR(VLOOKUP(E323,Valintalistat!D$2:H$7,5,0), 99),1,0)</f>
        <v>0</v>
      </c>
      <c r="Y323" s="44">
        <f>IF(Esiehdot!D$5&gt;=IFERROR(VLOOKUP(F323,Valintalistat!E$2:H$5,4,0), 99),1,0)</f>
        <v>0</v>
      </c>
      <c r="Z323" s="44">
        <f>IF(Esiehdot!D$6&gt;=IFERROR(VLOOKUP(G323,Valintalistat!F$2:H$5,3,0),99),1,0)</f>
        <v>0</v>
      </c>
      <c r="AA323" s="44">
        <f>IF(Esiehdot!D$8&gt;=IFERROR(VLOOKUP(H323,Valintalistat!G$2:H$5,2,0),99),1,0)</f>
        <v>0</v>
      </c>
      <c r="AB323" s="43">
        <f t="shared" ref="AB323:AB386" si="47">IF(X323+Y323+Z323+AA323=0,0,1)</f>
        <v>0</v>
      </c>
      <c r="AC323" s="44">
        <f>IF(Esiehdot!E$4=IFERROR(VLOOKUP(E323,Valintalistat!D$2:H$7,5,0),99),1,0)</f>
        <v>0</v>
      </c>
      <c r="AD323" s="44">
        <f>IF(Esiehdot!E$5=IFERROR(VLOOKUP(F323,Valintalistat!E$2:H$5,4,0),99),1,0)</f>
        <v>0</v>
      </c>
      <c r="AE323" s="44">
        <f>IF(Esiehdot!E$6=IFERROR(VLOOKUP(G323,Valintalistat!F$2:H$5,3,0),99),1,0)</f>
        <v>0</v>
      </c>
      <c r="AF323" s="44">
        <f>IF(Esiehdot!E$8=IFERROR(VLOOKUP(H323,Valintalistat!G$2:H$3,2,0),98),1,0)</f>
        <v>0</v>
      </c>
      <c r="AG323" s="43">
        <f t="shared" ref="AG323:AG386" si="48">IF(AC323+AD323+AE323+AF323&gt;X323+Y323+Z323+AA323,1,0)</f>
        <v>0</v>
      </c>
      <c r="AH323" s="43">
        <f>IFERROR(HLOOKUP(Esiehdot!$B$17,Käyttötapauskriteerit!G$1:P223,323,0),1)</f>
        <v>1</v>
      </c>
      <c r="AI323" s="43">
        <f t="shared" ref="AI323:AI386" si="49">IF(W323*AB323*AH323=1,1,0)</f>
        <v>0</v>
      </c>
      <c r="AJ323" s="43">
        <f t="shared" ref="AJ323:AJ386" si="50">IF(W323*AB323*AH323=2,1,0)</f>
        <v>0</v>
      </c>
      <c r="AK323" s="43">
        <f t="shared" ref="AK323:AK386" si="51">IF(W323*AG323*AH323=1,1,0)</f>
        <v>0</v>
      </c>
      <c r="AL323" s="43">
        <f t="shared" ref="AL323:AL386" si="52">IF(W323*AG323*AH323=2,1,0)</f>
        <v>0</v>
      </c>
      <c r="AM323" s="43"/>
      <c r="AN323" s="45" t="str">
        <f t="shared" ref="AN323:AN386" si="53">IF(C323="","",IF(AI323=1,"Olennainen",IF(AJ323=1,"Valinnainen",IF(AK323=1,"Valinnainen",IF(AL323=1,"Valinnainen","Ei ehdoteta hankintaan")))))</f>
        <v/>
      </c>
    </row>
    <row r="324" spans="1:40" ht="15.6">
      <c r="A324" s="5"/>
      <c r="B324" s="5"/>
      <c r="E324" s="17"/>
      <c r="F324" s="17"/>
      <c r="G324" s="17"/>
      <c r="H324" s="17"/>
      <c r="I324" s="17"/>
      <c r="J324" s="17"/>
      <c r="K324" s="17"/>
      <c r="L324" s="32"/>
      <c r="M324" s="61"/>
      <c r="N324" s="23"/>
      <c r="O324" s="23"/>
      <c r="P324" s="9"/>
      <c r="Q324" s="9"/>
      <c r="R324" s="9"/>
      <c r="S324" s="9"/>
      <c r="U324" s="42" t="str">
        <f t="shared" si="45"/>
        <v>, L:, E:, S:, TS:</v>
      </c>
      <c r="V324" s="42" t="str">
        <f t="shared" si="46"/>
        <v/>
      </c>
      <c r="W324" s="43">
        <f>IFERROR(VLOOKUP(A324,Esiehdot!A$11:D$15,4,0), 0)</f>
        <v>0</v>
      </c>
      <c r="X324" s="44">
        <f>IF(Esiehdot!D$4&gt;=IFERROR(VLOOKUP(E324,Valintalistat!D$2:H$7,5,0), 99),1,0)</f>
        <v>0</v>
      </c>
      <c r="Y324" s="44">
        <f>IF(Esiehdot!D$5&gt;=IFERROR(VLOOKUP(F324,Valintalistat!E$2:H$5,4,0), 99),1,0)</f>
        <v>0</v>
      </c>
      <c r="Z324" s="44">
        <f>IF(Esiehdot!D$6&gt;=IFERROR(VLOOKUP(G324,Valintalistat!F$2:H$5,3,0),99),1,0)</f>
        <v>0</v>
      </c>
      <c r="AA324" s="44">
        <f>IF(Esiehdot!D$8&gt;=IFERROR(VLOOKUP(H324,Valintalistat!G$2:H$5,2,0),99),1,0)</f>
        <v>0</v>
      </c>
      <c r="AB324" s="43">
        <f t="shared" si="47"/>
        <v>0</v>
      </c>
      <c r="AC324" s="44">
        <f>IF(Esiehdot!E$4=IFERROR(VLOOKUP(E324,Valintalistat!D$2:H$7,5,0),99),1,0)</f>
        <v>0</v>
      </c>
      <c r="AD324" s="44">
        <f>IF(Esiehdot!E$5=IFERROR(VLOOKUP(F324,Valintalistat!E$2:H$5,4,0),99),1,0)</f>
        <v>0</v>
      </c>
      <c r="AE324" s="44">
        <f>IF(Esiehdot!E$6=IFERROR(VLOOKUP(G324,Valintalistat!F$2:H$5,3,0),99),1,0)</f>
        <v>0</v>
      </c>
      <c r="AF324" s="44">
        <f>IF(Esiehdot!E$8=IFERROR(VLOOKUP(H324,Valintalistat!G$2:H$3,2,0),98),1,0)</f>
        <v>0</v>
      </c>
      <c r="AG324" s="43">
        <f t="shared" si="48"/>
        <v>0</v>
      </c>
      <c r="AH324" s="43">
        <f>IFERROR(HLOOKUP(Esiehdot!$B$17,Käyttötapauskriteerit!G$1:P223,324,0),1)</f>
        <v>1</v>
      </c>
      <c r="AI324" s="43">
        <f t="shared" si="49"/>
        <v>0</v>
      </c>
      <c r="AJ324" s="43">
        <f t="shared" si="50"/>
        <v>0</v>
      </c>
      <c r="AK324" s="43">
        <f t="shared" si="51"/>
        <v>0</v>
      </c>
      <c r="AL324" s="43">
        <f t="shared" si="52"/>
        <v>0</v>
      </c>
      <c r="AM324" s="43"/>
      <c r="AN324" s="45" t="str">
        <f t="shared" si="53"/>
        <v/>
      </c>
    </row>
    <row r="325" spans="1:40" ht="15.6">
      <c r="A325" s="5"/>
      <c r="B325" s="5"/>
      <c r="E325" s="17"/>
      <c r="F325" s="17"/>
      <c r="G325" s="17"/>
      <c r="H325" s="17"/>
      <c r="I325" s="17"/>
      <c r="J325" s="17"/>
      <c r="K325" s="17"/>
      <c r="L325" s="32"/>
      <c r="M325" s="61"/>
      <c r="N325" s="23"/>
      <c r="O325" s="23"/>
      <c r="P325" s="9"/>
      <c r="Q325" s="9"/>
      <c r="R325" s="9"/>
      <c r="S325" s="9"/>
      <c r="U325" s="42" t="str">
        <f t="shared" si="45"/>
        <v>, L:, E:, S:, TS:</v>
      </c>
      <c r="V325" s="42" t="str">
        <f t="shared" si="46"/>
        <v/>
      </c>
      <c r="W325" s="43">
        <f>IFERROR(VLOOKUP(A325,Esiehdot!A$11:D$15,4,0), 0)</f>
        <v>0</v>
      </c>
      <c r="X325" s="44">
        <f>IF(Esiehdot!D$4&gt;=IFERROR(VLOOKUP(E325,Valintalistat!D$2:H$7,5,0), 99),1,0)</f>
        <v>0</v>
      </c>
      <c r="Y325" s="44">
        <f>IF(Esiehdot!D$5&gt;=IFERROR(VLOOKUP(F325,Valintalistat!E$2:H$5,4,0), 99),1,0)</f>
        <v>0</v>
      </c>
      <c r="Z325" s="44">
        <f>IF(Esiehdot!D$6&gt;=IFERROR(VLOOKUP(G325,Valintalistat!F$2:H$5,3,0),99),1,0)</f>
        <v>0</v>
      </c>
      <c r="AA325" s="44">
        <f>IF(Esiehdot!D$8&gt;=IFERROR(VLOOKUP(H325,Valintalistat!G$2:H$5,2,0),99),1,0)</f>
        <v>0</v>
      </c>
      <c r="AB325" s="43">
        <f t="shared" si="47"/>
        <v>0</v>
      </c>
      <c r="AC325" s="44">
        <f>IF(Esiehdot!E$4=IFERROR(VLOOKUP(E325,Valintalistat!D$2:H$7,5,0),99),1,0)</f>
        <v>0</v>
      </c>
      <c r="AD325" s="44">
        <f>IF(Esiehdot!E$5=IFERROR(VLOOKUP(F325,Valintalistat!E$2:H$5,4,0),99),1,0)</f>
        <v>0</v>
      </c>
      <c r="AE325" s="44">
        <f>IF(Esiehdot!E$6=IFERROR(VLOOKUP(G325,Valintalistat!F$2:H$5,3,0),99),1,0)</f>
        <v>0</v>
      </c>
      <c r="AF325" s="44">
        <f>IF(Esiehdot!E$8=IFERROR(VLOOKUP(H325,Valintalistat!G$2:H$3,2,0),98),1,0)</f>
        <v>0</v>
      </c>
      <c r="AG325" s="43">
        <f t="shared" si="48"/>
        <v>0</v>
      </c>
      <c r="AH325" s="43">
        <f>IFERROR(HLOOKUP(Esiehdot!$B$17,Käyttötapauskriteerit!G$1:P223,325,0),1)</f>
        <v>1</v>
      </c>
      <c r="AI325" s="43">
        <f t="shared" si="49"/>
        <v>0</v>
      </c>
      <c r="AJ325" s="43">
        <f t="shared" si="50"/>
        <v>0</v>
      </c>
      <c r="AK325" s="43">
        <f t="shared" si="51"/>
        <v>0</v>
      </c>
      <c r="AL325" s="43">
        <f t="shared" si="52"/>
        <v>0</v>
      </c>
      <c r="AM325" s="43"/>
      <c r="AN325" s="45" t="str">
        <f t="shared" si="53"/>
        <v/>
      </c>
    </row>
    <row r="326" spans="1:40" ht="15.6">
      <c r="A326" s="5"/>
      <c r="B326" s="5"/>
      <c r="E326" s="17"/>
      <c r="F326" s="17"/>
      <c r="G326" s="17"/>
      <c r="H326" s="17"/>
      <c r="I326" s="17"/>
      <c r="J326" s="17"/>
      <c r="K326" s="17"/>
      <c r="L326" s="32"/>
      <c r="M326" s="61"/>
      <c r="N326" s="23"/>
      <c r="O326" s="23"/>
      <c r="P326" s="9"/>
      <c r="Q326" s="9"/>
      <c r="R326" s="9"/>
      <c r="S326" s="9"/>
      <c r="U326" s="42" t="str">
        <f t="shared" si="45"/>
        <v>, L:, E:, S:, TS:</v>
      </c>
      <c r="V326" s="42" t="str">
        <f t="shared" si="46"/>
        <v/>
      </c>
      <c r="W326" s="43">
        <f>IFERROR(VLOOKUP(A326,Esiehdot!A$11:D$15,4,0), 0)</f>
        <v>0</v>
      </c>
      <c r="X326" s="44">
        <f>IF(Esiehdot!D$4&gt;=IFERROR(VLOOKUP(E326,Valintalistat!D$2:H$7,5,0), 99),1,0)</f>
        <v>0</v>
      </c>
      <c r="Y326" s="44">
        <f>IF(Esiehdot!D$5&gt;=IFERROR(VLOOKUP(F326,Valintalistat!E$2:H$5,4,0), 99),1,0)</f>
        <v>0</v>
      </c>
      <c r="Z326" s="44">
        <f>IF(Esiehdot!D$6&gt;=IFERROR(VLOOKUP(G326,Valintalistat!F$2:H$5,3,0),99),1,0)</f>
        <v>0</v>
      </c>
      <c r="AA326" s="44">
        <f>IF(Esiehdot!D$8&gt;=IFERROR(VLOOKUP(H326,Valintalistat!G$2:H$5,2,0),99),1,0)</f>
        <v>0</v>
      </c>
      <c r="AB326" s="43">
        <f t="shared" si="47"/>
        <v>0</v>
      </c>
      <c r="AC326" s="44">
        <f>IF(Esiehdot!E$4=IFERROR(VLOOKUP(E326,Valintalistat!D$2:H$7,5,0),99),1,0)</f>
        <v>0</v>
      </c>
      <c r="AD326" s="44">
        <f>IF(Esiehdot!E$5=IFERROR(VLOOKUP(F326,Valintalistat!E$2:H$5,4,0),99),1,0)</f>
        <v>0</v>
      </c>
      <c r="AE326" s="44">
        <f>IF(Esiehdot!E$6=IFERROR(VLOOKUP(G326,Valintalistat!F$2:H$5,3,0),99),1,0)</f>
        <v>0</v>
      </c>
      <c r="AF326" s="44">
        <f>IF(Esiehdot!E$8=IFERROR(VLOOKUP(H326,Valintalistat!G$2:H$3,2,0),98),1,0)</f>
        <v>0</v>
      </c>
      <c r="AG326" s="43">
        <f t="shared" si="48"/>
        <v>0</v>
      </c>
      <c r="AH326" s="43">
        <f>IFERROR(HLOOKUP(Esiehdot!$B$17,Käyttötapauskriteerit!G$1:P223,326,0),1)</f>
        <v>1</v>
      </c>
      <c r="AI326" s="43">
        <f t="shared" si="49"/>
        <v>0</v>
      </c>
      <c r="AJ326" s="43">
        <f t="shared" si="50"/>
        <v>0</v>
      </c>
      <c r="AK326" s="43">
        <f t="shared" si="51"/>
        <v>0</v>
      </c>
      <c r="AL326" s="43">
        <f t="shared" si="52"/>
        <v>0</v>
      </c>
      <c r="AM326" s="43"/>
      <c r="AN326" s="45" t="str">
        <f t="shared" si="53"/>
        <v/>
      </c>
    </row>
    <row r="327" spans="1:40" ht="15.6">
      <c r="A327" s="5"/>
      <c r="B327" s="5"/>
      <c r="E327" s="17"/>
      <c r="F327" s="17"/>
      <c r="G327" s="17"/>
      <c r="H327" s="17"/>
      <c r="I327" s="17"/>
      <c r="J327" s="17"/>
      <c r="K327" s="17"/>
      <c r="L327" s="32"/>
      <c r="M327" s="61"/>
      <c r="N327" s="23"/>
      <c r="O327" s="23"/>
      <c r="P327" s="9"/>
      <c r="Q327" s="9"/>
      <c r="R327" s="9"/>
      <c r="S327" s="9"/>
      <c r="U327" s="42" t="str">
        <f t="shared" si="45"/>
        <v>, L:, E:, S:, TS:</v>
      </c>
      <c r="V327" s="42" t="str">
        <f t="shared" si="46"/>
        <v/>
      </c>
      <c r="W327" s="43">
        <f>IFERROR(VLOOKUP(A327,Esiehdot!A$11:D$15,4,0), 0)</f>
        <v>0</v>
      </c>
      <c r="X327" s="44">
        <f>IF(Esiehdot!D$4&gt;=IFERROR(VLOOKUP(E327,Valintalistat!D$2:H$7,5,0), 99),1,0)</f>
        <v>0</v>
      </c>
      <c r="Y327" s="44">
        <f>IF(Esiehdot!D$5&gt;=IFERROR(VLOOKUP(F327,Valintalistat!E$2:H$5,4,0), 99),1,0)</f>
        <v>0</v>
      </c>
      <c r="Z327" s="44">
        <f>IF(Esiehdot!D$6&gt;=IFERROR(VLOOKUP(G327,Valintalistat!F$2:H$5,3,0),99),1,0)</f>
        <v>0</v>
      </c>
      <c r="AA327" s="44">
        <f>IF(Esiehdot!D$8&gt;=IFERROR(VLOOKUP(H327,Valintalistat!G$2:H$5,2,0),99),1,0)</f>
        <v>0</v>
      </c>
      <c r="AB327" s="43">
        <f t="shared" si="47"/>
        <v>0</v>
      </c>
      <c r="AC327" s="44">
        <f>IF(Esiehdot!E$4=IFERROR(VLOOKUP(E327,Valintalistat!D$2:H$7,5,0),99),1,0)</f>
        <v>0</v>
      </c>
      <c r="AD327" s="44">
        <f>IF(Esiehdot!E$5=IFERROR(VLOOKUP(F327,Valintalistat!E$2:H$5,4,0),99),1,0)</f>
        <v>0</v>
      </c>
      <c r="AE327" s="44">
        <f>IF(Esiehdot!E$6=IFERROR(VLOOKUP(G327,Valintalistat!F$2:H$5,3,0),99),1,0)</f>
        <v>0</v>
      </c>
      <c r="AF327" s="44">
        <f>IF(Esiehdot!E$8=IFERROR(VLOOKUP(H327,Valintalistat!G$2:H$3,2,0),98),1,0)</f>
        <v>0</v>
      </c>
      <c r="AG327" s="43">
        <f t="shared" si="48"/>
        <v>0</v>
      </c>
      <c r="AH327" s="43">
        <f>IFERROR(HLOOKUP(Esiehdot!$B$17,Käyttötapauskriteerit!G$1:P223,327,0),1)</f>
        <v>1</v>
      </c>
      <c r="AI327" s="43">
        <f t="shared" si="49"/>
        <v>0</v>
      </c>
      <c r="AJ327" s="43">
        <f t="shared" si="50"/>
        <v>0</v>
      </c>
      <c r="AK327" s="43">
        <f t="shared" si="51"/>
        <v>0</v>
      </c>
      <c r="AL327" s="43">
        <f t="shared" si="52"/>
        <v>0</v>
      </c>
      <c r="AM327" s="43"/>
      <c r="AN327" s="45" t="str">
        <f t="shared" si="53"/>
        <v/>
      </c>
    </row>
    <row r="328" spans="1:40" ht="15.6">
      <c r="A328" s="5"/>
      <c r="B328" s="5"/>
      <c r="E328" s="17"/>
      <c r="F328" s="17"/>
      <c r="G328" s="17"/>
      <c r="H328" s="17"/>
      <c r="I328" s="17"/>
      <c r="J328" s="17"/>
      <c r="K328" s="17"/>
      <c r="L328" s="32"/>
      <c r="M328" s="61"/>
      <c r="N328" s="23"/>
      <c r="O328" s="23"/>
      <c r="P328" s="9"/>
      <c r="Q328" s="9"/>
      <c r="R328" s="9"/>
      <c r="S328" s="9"/>
      <c r="U328" s="42" t="str">
        <f t="shared" si="45"/>
        <v>, L:, E:, S:, TS:</v>
      </c>
      <c r="V328" s="42" t="str">
        <f t="shared" si="46"/>
        <v/>
      </c>
      <c r="W328" s="43">
        <f>IFERROR(VLOOKUP(A328,Esiehdot!A$11:D$15,4,0), 0)</f>
        <v>0</v>
      </c>
      <c r="X328" s="44">
        <f>IF(Esiehdot!D$4&gt;=IFERROR(VLOOKUP(E328,Valintalistat!D$2:H$7,5,0), 99),1,0)</f>
        <v>0</v>
      </c>
      <c r="Y328" s="44">
        <f>IF(Esiehdot!D$5&gt;=IFERROR(VLOOKUP(F328,Valintalistat!E$2:H$5,4,0), 99),1,0)</f>
        <v>0</v>
      </c>
      <c r="Z328" s="44">
        <f>IF(Esiehdot!D$6&gt;=IFERROR(VLOOKUP(G328,Valintalistat!F$2:H$5,3,0),99),1,0)</f>
        <v>0</v>
      </c>
      <c r="AA328" s="44">
        <f>IF(Esiehdot!D$8&gt;=IFERROR(VLOOKUP(H328,Valintalistat!G$2:H$5,2,0),99),1,0)</f>
        <v>0</v>
      </c>
      <c r="AB328" s="43">
        <f t="shared" si="47"/>
        <v>0</v>
      </c>
      <c r="AC328" s="44">
        <f>IF(Esiehdot!E$4=IFERROR(VLOOKUP(E328,Valintalistat!D$2:H$7,5,0),99),1,0)</f>
        <v>0</v>
      </c>
      <c r="AD328" s="44">
        <f>IF(Esiehdot!E$5=IFERROR(VLOOKUP(F328,Valintalistat!E$2:H$5,4,0),99),1,0)</f>
        <v>0</v>
      </c>
      <c r="AE328" s="44">
        <f>IF(Esiehdot!E$6=IFERROR(VLOOKUP(G328,Valintalistat!F$2:H$5,3,0),99),1,0)</f>
        <v>0</v>
      </c>
      <c r="AF328" s="44">
        <f>IF(Esiehdot!E$8=IFERROR(VLOOKUP(H328,Valintalistat!G$2:H$3,2,0),98),1,0)</f>
        <v>0</v>
      </c>
      <c r="AG328" s="43">
        <f t="shared" si="48"/>
        <v>0</v>
      </c>
      <c r="AH328" s="43">
        <f>IFERROR(HLOOKUP(Esiehdot!$B$17,Käyttötapauskriteerit!G$1:P223,328,0),1)</f>
        <v>1</v>
      </c>
      <c r="AI328" s="43">
        <f t="shared" si="49"/>
        <v>0</v>
      </c>
      <c r="AJ328" s="43">
        <f t="shared" si="50"/>
        <v>0</v>
      </c>
      <c r="AK328" s="43">
        <f t="shared" si="51"/>
        <v>0</v>
      </c>
      <c r="AL328" s="43">
        <f t="shared" si="52"/>
        <v>0</v>
      </c>
      <c r="AM328" s="43"/>
      <c r="AN328" s="45" t="str">
        <f t="shared" si="53"/>
        <v/>
      </c>
    </row>
    <row r="329" spans="1:40" ht="15.6">
      <c r="A329" s="5"/>
      <c r="B329" s="5"/>
      <c r="E329" s="17"/>
      <c r="F329" s="17"/>
      <c r="G329" s="17"/>
      <c r="H329" s="17"/>
      <c r="I329" s="17"/>
      <c r="J329" s="17"/>
      <c r="K329" s="17"/>
      <c r="L329" s="32"/>
      <c r="M329" s="61"/>
      <c r="N329" s="23"/>
      <c r="O329" s="23"/>
      <c r="P329" s="9"/>
      <c r="Q329" s="9"/>
      <c r="R329" s="9"/>
      <c r="S329" s="9"/>
      <c r="U329" s="42" t="str">
        <f t="shared" si="45"/>
        <v>, L:, E:, S:, TS:</v>
      </c>
      <c r="V329" s="42" t="str">
        <f t="shared" si="46"/>
        <v/>
      </c>
      <c r="W329" s="43">
        <f>IFERROR(VLOOKUP(A329,Esiehdot!A$11:D$15,4,0), 0)</f>
        <v>0</v>
      </c>
      <c r="X329" s="44">
        <f>IF(Esiehdot!D$4&gt;=IFERROR(VLOOKUP(E329,Valintalistat!D$2:H$7,5,0), 99),1,0)</f>
        <v>0</v>
      </c>
      <c r="Y329" s="44">
        <f>IF(Esiehdot!D$5&gt;=IFERROR(VLOOKUP(F329,Valintalistat!E$2:H$5,4,0), 99),1,0)</f>
        <v>0</v>
      </c>
      <c r="Z329" s="44">
        <f>IF(Esiehdot!D$6&gt;=IFERROR(VLOOKUP(G329,Valintalistat!F$2:H$5,3,0),99),1,0)</f>
        <v>0</v>
      </c>
      <c r="AA329" s="44">
        <f>IF(Esiehdot!D$8&gt;=IFERROR(VLOOKUP(H329,Valintalistat!G$2:H$5,2,0),99),1,0)</f>
        <v>0</v>
      </c>
      <c r="AB329" s="43">
        <f t="shared" si="47"/>
        <v>0</v>
      </c>
      <c r="AC329" s="44">
        <f>IF(Esiehdot!E$4=IFERROR(VLOOKUP(E329,Valintalistat!D$2:H$7,5,0),99),1,0)</f>
        <v>0</v>
      </c>
      <c r="AD329" s="44">
        <f>IF(Esiehdot!E$5=IFERROR(VLOOKUP(F329,Valintalistat!E$2:H$5,4,0),99),1,0)</f>
        <v>0</v>
      </c>
      <c r="AE329" s="44">
        <f>IF(Esiehdot!E$6=IFERROR(VLOOKUP(G329,Valintalistat!F$2:H$5,3,0),99),1,0)</f>
        <v>0</v>
      </c>
      <c r="AF329" s="44">
        <f>IF(Esiehdot!E$8=IFERROR(VLOOKUP(H329,Valintalistat!G$2:H$3,2,0),98),1,0)</f>
        <v>0</v>
      </c>
      <c r="AG329" s="43">
        <f t="shared" si="48"/>
        <v>0</v>
      </c>
      <c r="AH329" s="43">
        <f>IFERROR(HLOOKUP(Esiehdot!$B$17,Käyttötapauskriteerit!G$1:P223,329,0),1)</f>
        <v>1</v>
      </c>
      <c r="AI329" s="43">
        <f t="shared" si="49"/>
        <v>0</v>
      </c>
      <c r="AJ329" s="43">
        <f t="shared" si="50"/>
        <v>0</v>
      </c>
      <c r="AK329" s="43">
        <f t="shared" si="51"/>
        <v>0</v>
      </c>
      <c r="AL329" s="43">
        <f t="shared" si="52"/>
        <v>0</v>
      </c>
      <c r="AM329" s="43"/>
      <c r="AN329" s="45" t="str">
        <f t="shared" si="53"/>
        <v/>
      </c>
    </row>
    <row r="330" spans="1:40" ht="15.6">
      <c r="A330" s="5"/>
      <c r="B330" s="5"/>
      <c r="E330" s="17"/>
      <c r="F330" s="17"/>
      <c r="G330" s="17"/>
      <c r="H330" s="17"/>
      <c r="I330" s="17"/>
      <c r="J330" s="17"/>
      <c r="K330" s="17"/>
      <c r="L330" s="32"/>
      <c r="M330" s="61"/>
      <c r="N330" s="23"/>
      <c r="O330" s="23"/>
      <c r="P330" s="9"/>
      <c r="Q330" s="9"/>
      <c r="R330" s="9"/>
      <c r="S330" s="9"/>
      <c r="U330" s="42" t="str">
        <f t="shared" si="45"/>
        <v>, L:, E:, S:, TS:</v>
      </c>
      <c r="V330" s="42" t="str">
        <f t="shared" si="46"/>
        <v/>
      </c>
      <c r="W330" s="43">
        <f>IFERROR(VLOOKUP(A330,Esiehdot!A$11:D$15,4,0), 0)</f>
        <v>0</v>
      </c>
      <c r="X330" s="44">
        <f>IF(Esiehdot!D$4&gt;=IFERROR(VLOOKUP(E330,Valintalistat!D$2:H$7,5,0), 99),1,0)</f>
        <v>0</v>
      </c>
      <c r="Y330" s="44">
        <f>IF(Esiehdot!D$5&gt;=IFERROR(VLOOKUP(F330,Valintalistat!E$2:H$5,4,0), 99),1,0)</f>
        <v>0</v>
      </c>
      <c r="Z330" s="44">
        <f>IF(Esiehdot!D$6&gt;=IFERROR(VLOOKUP(G330,Valintalistat!F$2:H$5,3,0),99),1,0)</f>
        <v>0</v>
      </c>
      <c r="AA330" s="44">
        <f>IF(Esiehdot!D$8&gt;=IFERROR(VLOOKUP(H330,Valintalistat!G$2:H$5,2,0),99),1,0)</f>
        <v>0</v>
      </c>
      <c r="AB330" s="43">
        <f t="shared" si="47"/>
        <v>0</v>
      </c>
      <c r="AC330" s="44">
        <f>IF(Esiehdot!E$4=IFERROR(VLOOKUP(E330,Valintalistat!D$2:H$7,5,0),99),1,0)</f>
        <v>0</v>
      </c>
      <c r="AD330" s="44">
        <f>IF(Esiehdot!E$5=IFERROR(VLOOKUP(F330,Valintalistat!E$2:H$5,4,0),99),1,0)</f>
        <v>0</v>
      </c>
      <c r="AE330" s="44">
        <f>IF(Esiehdot!E$6=IFERROR(VLOOKUP(G330,Valintalistat!F$2:H$5,3,0),99),1,0)</f>
        <v>0</v>
      </c>
      <c r="AF330" s="44">
        <f>IF(Esiehdot!E$8=IFERROR(VLOOKUP(H330,Valintalistat!G$2:H$3,2,0),98),1,0)</f>
        <v>0</v>
      </c>
      <c r="AG330" s="43">
        <f t="shared" si="48"/>
        <v>0</v>
      </c>
      <c r="AH330" s="43">
        <f>IFERROR(HLOOKUP(Esiehdot!$B$17,Käyttötapauskriteerit!G$1:P223,330,0),1)</f>
        <v>1</v>
      </c>
      <c r="AI330" s="43">
        <f t="shared" si="49"/>
        <v>0</v>
      </c>
      <c r="AJ330" s="43">
        <f t="shared" si="50"/>
        <v>0</v>
      </c>
      <c r="AK330" s="43">
        <f t="shared" si="51"/>
        <v>0</v>
      </c>
      <c r="AL330" s="43">
        <f t="shared" si="52"/>
        <v>0</v>
      </c>
      <c r="AM330" s="43"/>
      <c r="AN330" s="45" t="str">
        <f t="shared" si="53"/>
        <v/>
      </c>
    </row>
    <row r="331" spans="1:40" ht="15.6">
      <c r="A331" s="5"/>
      <c r="B331" s="5"/>
      <c r="E331" s="17"/>
      <c r="F331" s="17"/>
      <c r="G331" s="17"/>
      <c r="H331" s="17"/>
      <c r="I331" s="17"/>
      <c r="J331" s="17"/>
      <c r="K331" s="17"/>
      <c r="L331" s="32"/>
      <c r="M331" s="61"/>
      <c r="N331" s="23"/>
      <c r="O331" s="23"/>
      <c r="P331" s="9"/>
      <c r="Q331" s="9"/>
      <c r="R331" s="9"/>
      <c r="S331" s="9"/>
      <c r="U331" s="42" t="str">
        <f t="shared" si="45"/>
        <v>, L:, E:, S:, TS:</v>
      </c>
      <c r="V331" s="42" t="str">
        <f t="shared" si="46"/>
        <v/>
      </c>
      <c r="W331" s="43">
        <f>IFERROR(VLOOKUP(A331,Esiehdot!A$11:D$15,4,0), 0)</f>
        <v>0</v>
      </c>
      <c r="X331" s="44">
        <f>IF(Esiehdot!D$4&gt;=IFERROR(VLOOKUP(E331,Valintalistat!D$2:H$7,5,0), 99),1,0)</f>
        <v>0</v>
      </c>
      <c r="Y331" s="44">
        <f>IF(Esiehdot!D$5&gt;=IFERROR(VLOOKUP(F331,Valintalistat!E$2:H$5,4,0), 99),1,0)</f>
        <v>0</v>
      </c>
      <c r="Z331" s="44">
        <f>IF(Esiehdot!D$6&gt;=IFERROR(VLOOKUP(G331,Valintalistat!F$2:H$5,3,0),99),1,0)</f>
        <v>0</v>
      </c>
      <c r="AA331" s="44">
        <f>IF(Esiehdot!D$8&gt;=IFERROR(VLOOKUP(H331,Valintalistat!G$2:H$5,2,0),99),1,0)</f>
        <v>0</v>
      </c>
      <c r="AB331" s="43">
        <f t="shared" si="47"/>
        <v>0</v>
      </c>
      <c r="AC331" s="44">
        <f>IF(Esiehdot!E$4=IFERROR(VLOOKUP(E331,Valintalistat!D$2:H$7,5,0),99),1,0)</f>
        <v>0</v>
      </c>
      <c r="AD331" s="44">
        <f>IF(Esiehdot!E$5=IFERROR(VLOOKUP(F331,Valintalistat!E$2:H$5,4,0),99),1,0)</f>
        <v>0</v>
      </c>
      <c r="AE331" s="44">
        <f>IF(Esiehdot!E$6=IFERROR(VLOOKUP(G331,Valintalistat!F$2:H$5,3,0),99),1,0)</f>
        <v>0</v>
      </c>
      <c r="AF331" s="44">
        <f>IF(Esiehdot!E$8=IFERROR(VLOOKUP(H331,Valintalistat!G$2:H$3,2,0),98),1,0)</f>
        <v>0</v>
      </c>
      <c r="AG331" s="43">
        <f t="shared" si="48"/>
        <v>0</v>
      </c>
      <c r="AH331" s="43">
        <f>IFERROR(HLOOKUP(Esiehdot!$B$17,Käyttötapauskriteerit!G$1:P223,331,0),1)</f>
        <v>1</v>
      </c>
      <c r="AI331" s="43">
        <f t="shared" si="49"/>
        <v>0</v>
      </c>
      <c r="AJ331" s="43">
        <f t="shared" si="50"/>
        <v>0</v>
      </c>
      <c r="AK331" s="43">
        <f t="shared" si="51"/>
        <v>0</v>
      </c>
      <c r="AL331" s="43">
        <f t="shared" si="52"/>
        <v>0</v>
      </c>
      <c r="AM331" s="43"/>
      <c r="AN331" s="45" t="str">
        <f t="shared" si="53"/>
        <v/>
      </c>
    </row>
    <row r="332" spans="1:40" ht="15.6">
      <c r="A332" s="5"/>
      <c r="B332" s="5"/>
      <c r="E332" s="17"/>
      <c r="F332" s="17"/>
      <c r="G332" s="17"/>
      <c r="H332" s="17"/>
      <c r="I332" s="17"/>
      <c r="J332" s="17"/>
      <c r="K332" s="17"/>
      <c r="L332" s="32"/>
      <c r="M332" s="61"/>
      <c r="N332" s="23"/>
      <c r="O332" s="23"/>
      <c r="P332" s="9"/>
      <c r="Q332" s="9"/>
      <c r="R332" s="9"/>
      <c r="S332" s="9"/>
      <c r="U332" s="42" t="str">
        <f t="shared" si="45"/>
        <v>, L:, E:, S:, TS:</v>
      </c>
      <c r="V332" s="42" t="str">
        <f t="shared" si="46"/>
        <v/>
      </c>
      <c r="W332" s="43">
        <f>IFERROR(VLOOKUP(A332,Esiehdot!A$11:D$15,4,0), 0)</f>
        <v>0</v>
      </c>
      <c r="X332" s="44">
        <f>IF(Esiehdot!D$4&gt;=IFERROR(VLOOKUP(E332,Valintalistat!D$2:H$7,5,0), 99),1,0)</f>
        <v>0</v>
      </c>
      <c r="Y332" s="44">
        <f>IF(Esiehdot!D$5&gt;=IFERROR(VLOOKUP(F332,Valintalistat!E$2:H$5,4,0), 99),1,0)</f>
        <v>0</v>
      </c>
      <c r="Z332" s="44">
        <f>IF(Esiehdot!D$6&gt;=IFERROR(VLOOKUP(G332,Valintalistat!F$2:H$5,3,0),99),1,0)</f>
        <v>0</v>
      </c>
      <c r="AA332" s="44">
        <f>IF(Esiehdot!D$8&gt;=IFERROR(VLOOKUP(H332,Valintalistat!G$2:H$5,2,0),99),1,0)</f>
        <v>0</v>
      </c>
      <c r="AB332" s="43">
        <f t="shared" si="47"/>
        <v>0</v>
      </c>
      <c r="AC332" s="44">
        <f>IF(Esiehdot!E$4=IFERROR(VLOOKUP(E332,Valintalistat!D$2:H$7,5,0),99),1,0)</f>
        <v>0</v>
      </c>
      <c r="AD332" s="44">
        <f>IF(Esiehdot!E$5=IFERROR(VLOOKUP(F332,Valintalistat!E$2:H$5,4,0),99),1,0)</f>
        <v>0</v>
      </c>
      <c r="AE332" s="44">
        <f>IF(Esiehdot!E$6=IFERROR(VLOOKUP(G332,Valintalistat!F$2:H$5,3,0),99),1,0)</f>
        <v>0</v>
      </c>
      <c r="AF332" s="44">
        <f>IF(Esiehdot!E$8=IFERROR(VLOOKUP(H332,Valintalistat!G$2:H$3,2,0),98),1,0)</f>
        <v>0</v>
      </c>
      <c r="AG332" s="43">
        <f t="shared" si="48"/>
        <v>0</v>
      </c>
      <c r="AH332" s="43">
        <f>IFERROR(HLOOKUP(Esiehdot!$B$17,Käyttötapauskriteerit!G$1:P223,332,0),1)</f>
        <v>1</v>
      </c>
      <c r="AI332" s="43">
        <f t="shared" si="49"/>
        <v>0</v>
      </c>
      <c r="AJ332" s="43">
        <f t="shared" si="50"/>
        <v>0</v>
      </c>
      <c r="AK332" s="43">
        <f t="shared" si="51"/>
        <v>0</v>
      </c>
      <c r="AL332" s="43">
        <f t="shared" si="52"/>
        <v>0</v>
      </c>
      <c r="AM332" s="43"/>
      <c r="AN332" s="45" t="str">
        <f t="shared" si="53"/>
        <v/>
      </c>
    </row>
    <row r="333" spans="1:40" ht="15.6">
      <c r="A333" s="5"/>
      <c r="B333" s="5"/>
      <c r="E333" s="17"/>
      <c r="F333" s="17"/>
      <c r="G333" s="17"/>
      <c r="H333" s="17"/>
      <c r="I333" s="17"/>
      <c r="J333" s="17"/>
      <c r="K333" s="17"/>
      <c r="L333" s="32"/>
      <c r="M333" s="61"/>
      <c r="N333" s="23"/>
      <c r="O333" s="23"/>
      <c r="P333" s="9"/>
      <c r="Q333" s="9"/>
      <c r="R333" s="9"/>
      <c r="S333" s="9"/>
      <c r="U333" s="42" t="str">
        <f t="shared" si="45"/>
        <v>, L:, E:, S:, TS:</v>
      </c>
      <c r="V333" s="42" t="str">
        <f t="shared" si="46"/>
        <v/>
      </c>
      <c r="W333" s="43">
        <f>IFERROR(VLOOKUP(A333,Esiehdot!A$11:D$15,4,0), 0)</f>
        <v>0</v>
      </c>
      <c r="X333" s="44">
        <f>IF(Esiehdot!D$4&gt;=IFERROR(VLOOKUP(E333,Valintalistat!D$2:H$7,5,0), 99),1,0)</f>
        <v>0</v>
      </c>
      <c r="Y333" s="44">
        <f>IF(Esiehdot!D$5&gt;=IFERROR(VLOOKUP(F333,Valintalistat!E$2:H$5,4,0), 99),1,0)</f>
        <v>0</v>
      </c>
      <c r="Z333" s="44">
        <f>IF(Esiehdot!D$6&gt;=IFERROR(VLOOKUP(G333,Valintalistat!F$2:H$5,3,0),99),1,0)</f>
        <v>0</v>
      </c>
      <c r="AA333" s="44">
        <f>IF(Esiehdot!D$8&gt;=IFERROR(VLOOKUP(H333,Valintalistat!G$2:H$5,2,0),99),1,0)</f>
        <v>0</v>
      </c>
      <c r="AB333" s="43">
        <f t="shared" si="47"/>
        <v>0</v>
      </c>
      <c r="AC333" s="44">
        <f>IF(Esiehdot!E$4=IFERROR(VLOOKUP(E333,Valintalistat!D$2:H$7,5,0),99),1,0)</f>
        <v>0</v>
      </c>
      <c r="AD333" s="44">
        <f>IF(Esiehdot!E$5=IFERROR(VLOOKUP(F333,Valintalistat!E$2:H$5,4,0),99),1,0)</f>
        <v>0</v>
      </c>
      <c r="AE333" s="44">
        <f>IF(Esiehdot!E$6=IFERROR(VLOOKUP(G333,Valintalistat!F$2:H$5,3,0),99),1,0)</f>
        <v>0</v>
      </c>
      <c r="AF333" s="44">
        <f>IF(Esiehdot!E$8=IFERROR(VLOOKUP(H333,Valintalistat!G$2:H$3,2,0),98),1,0)</f>
        <v>0</v>
      </c>
      <c r="AG333" s="43">
        <f t="shared" si="48"/>
        <v>0</v>
      </c>
      <c r="AH333" s="43">
        <f>IFERROR(HLOOKUP(Esiehdot!$B$17,Käyttötapauskriteerit!G$1:P223,333,0),1)</f>
        <v>1</v>
      </c>
      <c r="AI333" s="43">
        <f t="shared" si="49"/>
        <v>0</v>
      </c>
      <c r="AJ333" s="43">
        <f t="shared" si="50"/>
        <v>0</v>
      </c>
      <c r="AK333" s="43">
        <f t="shared" si="51"/>
        <v>0</v>
      </c>
      <c r="AL333" s="43">
        <f t="shared" si="52"/>
        <v>0</v>
      </c>
      <c r="AM333" s="43"/>
      <c r="AN333" s="45" t="str">
        <f t="shared" si="53"/>
        <v/>
      </c>
    </row>
    <row r="334" spans="1:40" ht="15.6">
      <c r="A334" s="5"/>
      <c r="B334" s="5"/>
      <c r="E334" s="17"/>
      <c r="F334" s="17"/>
      <c r="G334" s="17"/>
      <c r="H334" s="17"/>
      <c r="I334" s="17"/>
      <c r="J334" s="17"/>
      <c r="K334" s="17"/>
      <c r="L334" s="32"/>
      <c r="M334" s="61"/>
      <c r="N334" s="23"/>
      <c r="O334" s="23"/>
      <c r="P334" s="9"/>
      <c r="Q334" s="9"/>
      <c r="R334" s="9"/>
      <c r="S334" s="9"/>
      <c r="U334" s="42" t="str">
        <f t="shared" si="45"/>
        <v>, L:, E:, S:, TS:</v>
      </c>
      <c r="V334" s="42" t="str">
        <f t="shared" si="46"/>
        <v/>
      </c>
      <c r="W334" s="43">
        <f>IFERROR(VLOOKUP(A334,Esiehdot!A$11:D$15,4,0), 0)</f>
        <v>0</v>
      </c>
      <c r="X334" s="44">
        <f>IF(Esiehdot!D$4&gt;=IFERROR(VLOOKUP(E334,Valintalistat!D$2:H$7,5,0), 99),1,0)</f>
        <v>0</v>
      </c>
      <c r="Y334" s="44">
        <f>IF(Esiehdot!D$5&gt;=IFERROR(VLOOKUP(F334,Valintalistat!E$2:H$5,4,0), 99),1,0)</f>
        <v>0</v>
      </c>
      <c r="Z334" s="44">
        <f>IF(Esiehdot!D$6&gt;=IFERROR(VLOOKUP(G334,Valintalistat!F$2:H$5,3,0),99),1,0)</f>
        <v>0</v>
      </c>
      <c r="AA334" s="44">
        <f>IF(Esiehdot!D$8&gt;=IFERROR(VLOOKUP(H334,Valintalistat!G$2:H$5,2,0),99),1,0)</f>
        <v>0</v>
      </c>
      <c r="AB334" s="43">
        <f t="shared" si="47"/>
        <v>0</v>
      </c>
      <c r="AC334" s="44">
        <f>IF(Esiehdot!E$4=IFERROR(VLOOKUP(E334,Valintalistat!D$2:H$7,5,0),99),1,0)</f>
        <v>0</v>
      </c>
      <c r="AD334" s="44">
        <f>IF(Esiehdot!E$5=IFERROR(VLOOKUP(F334,Valintalistat!E$2:H$5,4,0),99),1,0)</f>
        <v>0</v>
      </c>
      <c r="AE334" s="44">
        <f>IF(Esiehdot!E$6=IFERROR(VLOOKUP(G334,Valintalistat!F$2:H$5,3,0),99),1,0)</f>
        <v>0</v>
      </c>
      <c r="AF334" s="44">
        <f>IF(Esiehdot!E$8=IFERROR(VLOOKUP(H334,Valintalistat!G$2:H$3,2,0),98),1,0)</f>
        <v>0</v>
      </c>
      <c r="AG334" s="43">
        <f t="shared" si="48"/>
        <v>0</v>
      </c>
      <c r="AH334" s="43">
        <f>IFERROR(HLOOKUP(Esiehdot!$B$17,Käyttötapauskriteerit!G$1:P223,334,0),1)</f>
        <v>1</v>
      </c>
      <c r="AI334" s="43">
        <f t="shared" si="49"/>
        <v>0</v>
      </c>
      <c r="AJ334" s="43">
        <f t="shared" si="50"/>
        <v>0</v>
      </c>
      <c r="AK334" s="43">
        <f t="shared" si="51"/>
        <v>0</v>
      </c>
      <c r="AL334" s="43">
        <f t="shared" si="52"/>
        <v>0</v>
      </c>
      <c r="AM334" s="43"/>
      <c r="AN334" s="45" t="str">
        <f t="shared" si="53"/>
        <v/>
      </c>
    </row>
    <row r="335" spans="1:40" ht="15.6">
      <c r="A335" s="5"/>
      <c r="B335" s="5"/>
      <c r="E335" s="17"/>
      <c r="F335" s="17"/>
      <c r="G335" s="17"/>
      <c r="H335" s="17"/>
      <c r="I335" s="17"/>
      <c r="J335" s="17"/>
      <c r="K335" s="17"/>
      <c r="L335" s="32"/>
      <c r="M335" s="61"/>
      <c r="N335" s="23"/>
      <c r="O335" s="23"/>
      <c r="P335" s="9"/>
      <c r="Q335" s="9"/>
      <c r="R335" s="9"/>
      <c r="S335" s="9"/>
      <c r="U335" s="42" t="str">
        <f t="shared" si="45"/>
        <v>, L:, E:, S:, TS:</v>
      </c>
      <c r="V335" s="42" t="str">
        <f t="shared" si="46"/>
        <v/>
      </c>
      <c r="W335" s="43">
        <f>IFERROR(VLOOKUP(A335,Esiehdot!A$11:D$15,4,0), 0)</f>
        <v>0</v>
      </c>
      <c r="X335" s="44">
        <f>IF(Esiehdot!D$4&gt;=IFERROR(VLOOKUP(E335,Valintalistat!D$2:H$7,5,0), 99),1,0)</f>
        <v>0</v>
      </c>
      <c r="Y335" s="44">
        <f>IF(Esiehdot!D$5&gt;=IFERROR(VLOOKUP(F335,Valintalistat!E$2:H$5,4,0), 99),1,0)</f>
        <v>0</v>
      </c>
      <c r="Z335" s="44">
        <f>IF(Esiehdot!D$6&gt;=IFERROR(VLOOKUP(G335,Valintalistat!F$2:H$5,3,0),99),1,0)</f>
        <v>0</v>
      </c>
      <c r="AA335" s="44">
        <f>IF(Esiehdot!D$8&gt;=IFERROR(VLOOKUP(H335,Valintalistat!G$2:H$5,2,0),99),1,0)</f>
        <v>0</v>
      </c>
      <c r="AB335" s="43">
        <f t="shared" si="47"/>
        <v>0</v>
      </c>
      <c r="AC335" s="44">
        <f>IF(Esiehdot!E$4=IFERROR(VLOOKUP(E335,Valintalistat!D$2:H$7,5,0),99),1,0)</f>
        <v>0</v>
      </c>
      <c r="AD335" s="44">
        <f>IF(Esiehdot!E$5=IFERROR(VLOOKUP(F335,Valintalistat!E$2:H$5,4,0),99),1,0)</f>
        <v>0</v>
      </c>
      <c r="AE335" s="44">
        <f>IF(Esiehdot!E$6=IFERROR(VLOOKUP(G335,Valintalistat!F$2:H$5,3,0),99),1,0)</f>
        <v>0</v>
      </c>
      <c r="AF335" s="44">
        <f>IF(Esiehdot!E$8=IFERROR(VLOOKUP(H335,Valintalistat!G$2:H$3,2,0),98),1,0)</f>
        <v>0</v>
      </c>
      <c r="AG335" s="43">
        <f t="shared" si="48"/>
        <v>0</v>
      </c>
      <c r="AH335" s="43">
        <f>IFERROR(HLOOKUP(Esiehdot!$B$17,Käyttötapauskriteerit!G$1:P223,335,0),1)</f>
        <v>1</v>
      </c>
      <c r="AI335" s="43">
        <f t="shared" si="49"/>
        <v>0</v>
      </c>
      <c r="AJ335" s="43">
        <f t="shared" si="50"/>
        <v>0</v>
      </c>
      <c r="AK335" s="43">
        <f t="shared" si="51"/>
        <v>0</v>
      </c>
      <c r="AL335" s="43">
        <f t="shared" si="52"/>
        <v>0</v>
      </c>
      <c r="AM335" s="43"/>
      <c r="AN335" s="45" t="str">
        <f t="shared" si="53"/>
        <v/>
      </c>
    </row>
    <row r="336" spans="1:40" ht="15.6">
      <c r="A336" s="5"/>
      <c r="B336" s="5"/>
      <c r="E336" s="17"/>
      <c r="F336" s="17"/>
      <c r="G336" s="17"/>
      <c r="H336" s="17"/>
      <c r="I336" s="17"/>
      <c r="J336" s="17"/>
      <c r="K336" s="17"/>
      <c r="L336" s="32"/>
      <c r="M336" s="61"/>
      <c r="N336" s="23"/>
      <c r="O336" s="23"/>
      <c r="P336" s="9"/>
      <c r="Q336" s="9"/>
      <c r="R336" s="9"/>
      <c r="S336" s="9"/>
      <c r="U336" s="42" t="str">
        <f t="shared" si="45"/>
        <v>, L:, E:, S:, TS:</v>
      </c>
      <c r="V336" s="42" t="str">
        <f t="shared" si="46"/>
        <v/>
      </c>
      <c r="W336" s="43">
        <f>IFERROR(VLOOKUP(A336,Esiehdot!A$11:D$15,4,0), 0)</f>
        <v>0</v>
      </c>
      <c r="X336" s="44">
        <f>IF(Esiehdot!D$4&gt;=IFERROR(VLOOKUP(E336,Valintalistat!D$2:H$7,5,0), 99),1,0)</f>
        <v>0</v>
      </c>
      <c r="Y336" s="44">
        <f>IF(Esiehdot!D$5&gt;=IFERROR(VLOOKUP(F336,Valintalistat!E$2:H$5,4,0), 99),1,0)</f>
        <v>0</v>
      </c>
      <c r="Z336" s="44">
        <f>IF(Esiehdot!D$6&gt;=IFERROR(VLOOKUP(G336,Valintalistat!F$2:H$5,3,0),99),1,0)</f>
        <v>0</v>
      </c>
      <c r="AA336" s="44">
        <f>IF(Esiehdot!D$8&gt;=IFERROR(VLOOKUP(H336,Valintalistat!G$2:H$5,2,0),99),1,0)</f>
        <v>0</v>
      </c>
      <c r="AB336" s="43">
        <f t="shared" si="47"/>
        <v>0</v>
      </c>
      <c r="AC336" s="44">
        <f>IF(Esiehdot!E$4=IFERROR(VLOOKUP(E336,Valintalistat!D$2:H$7,5,0),99),1,0)</f>
        <v>0</v>
      </c>
      <c r="AD336" s="44">
        <f>IF(Esiehdot!E$5=IFERROR(VLOOKUP(F336,Valintalistat!E$2:H$5,4,0),99),1,0)</f>
        <v>0</v>
      </c>
      <c r="AE336" s="44">
        <f>IF(Esiehdot!E$6=IFERROR(VLOOKUP(G336,Valintalistat!F$2:H$5,3,0),99),1,0)</f>
        <v>0</v>
      </c>
      <c r="AF336" s="44">
        <f>IF(Esiehdot!E$8=IFERROR(VLOOKUP(H336,Valintalistat!G$2:H$3,2,0),98),1,0)</f>
        <v>0</v>
      </c>
      <c r="AG336" s="43">
        <f t="shared" si="48"/>
        <v>0</v>
      </c>
      <c r="AH336" s="43">
        <f>IFERROR(HLOOKUP(Esiehdot!$B$17,Käyttötapauskriteerit!G$1:P223,336,0),1)</f>
        <v>1</v>
      </c>
      <c r="AI336" s="43">
        <f t="shared" si="49"/>
        <v>0</v>
      </c>
      <c r="AJ336" s="43">
        <f t="shared" si="50"/>
        <v>0</v>
      </c>
      <c r="AK336" s="43">
        <f t="shared" si="51"/>
        <v>0</v>
      </c>
      <c r="AL336" s="43">
        <f t="shared" si="52"/>
        <v>0</v>
      </c>
      <c r="AM336" s="43"/>
      <c r="AN336" s="45" t="str">
        <f t="shared" si="53"/>
        <v/>
      </c>
    </row>
    <row r="337" spans="1:40" ht="15.6">
      <c r="A337" s="5"/>
      <c r="B337" s="5"/>
      <c r="E337" s="17"/>
      <c r="F337" s="17"/>
      <c r="G337" s="17"/>
      <c r="H337" s="17"/>
      <c r="I337" s="17"/>
      <c r="J337" s="17"/>
      <c r="K337" s="17"/>
      <c r="L337" s="32"/>
      <c r="M337" s="61"/>
      <c r="N337" s="23"/>
      <c r="O337" s="23"/>
      <c r="P337" s="9"/>
      <c r="Q337" s="9"/>
      <c r="R337" s="9"/>
      <c r="S337" s="9"/>
      <c r="U337" s="42" t="str">
        <f t="shared" si="45"/>
        <v>, L:, E:, S:, TS:</v>
      </c>
      <c r="V337" s="42" t="str">
        <f t="shared" si="46"/>
        <v/>
      </c>
      <c r="W337" s="43">
        <f>IFERROR(VLOOKUP(A337,Esiehdot!A$11:D$15,4,0), 0)</f>
        <v>0</v>
      </c>
      <c r="X337" s="44">
        <f>IF(Esiehdot!D$4&gt;=IFERROR(VLOOKUP(E337,Valintalistat!D$2:H$7,5,0), 99),1,0)</f>
        <v>0</v>
      </c>
      <c r="Y337" s="44">
        <f>IF(Esiehdot!D$5&gt;=IFERROR(VLOOKUP(F337,Valintalistat!E$2:H$5,4,0), 99),1,0)</f>
        <v>0</v>
      </c>
      <c r="Z337" s="44">
        <f>IF(Esiehdot!D$6&gt;=IFERROR(VLOOKUP(G337,Valintalistat!F$2:H$5,3,0),99),1,0)</f>
        <v>0</v>
      </c>
      <c r="AA337" s="44">
        <f>IF(Esiehdot!D$8&gt;=IFERROR(VLOOKUP(H337,Valintalistat!G$2:H$5,2,0),99),1,0)</f>
        <v>0</v>
      </c>
      <c r="AB337" s="43">
        <f t="shared" si="47"/>
        <v>0</v>
      </c>
      <c r="AC337" s="44">
        <f>IF(Esiehdot!E$4=IFERROR(VLOOKUP(E337,Valintalistat!D$2:H$7,5,0),99),1,0)</f>
        <v>0</v>
      </c>
      <c r="AD337" s="44">
        <f>IF(Esiehdot!E$5=IFERROR(VLOOKUP(F337,Valintalistat!E$2:H$5,4,0),99),1,0)</f>
        <v>0</v>
      </c>
      <c r="AE337" s="44">
        <f>IF(Esiehdot!E$6=IFERROR(VLOOKUP(G337,Valintalistat!F$2:H$5,3,0),99),1,0)</f>
        <v>0</v>
      </c>
      <c r="AF337" s="44">
        <f>IF(Esiehdot!E$8=IFERROR(VLOOKUP(H337,Valintalistat!G$2:H$3,2,0),98),1,0)</f>
        <v>0</v>
      </c>
      <c r="AG337" s="43">
        <f t="shared" si="48"/>
        <v>0</v>
      </c>
      <c r="AH337" s="43">
        <f>IFERROR(HLOOKUP(Esiehdot!$B$17,Käyttötapauskriteerit!G$1:P223,337,0),1)</f>
        <v>1</v>
      </c>
      <c r="AI337" s="43">
        <f t="shared" si="49"/>
        <v>0</v>
      </c>
      <c r="AJ337" s="43">
        <f t="shared" si="50"/>
        <v>0</v>
      </c>
      <c r="AK337" s="43">
        <f t="shared" si="51"/>
        <v>0</v>
      </c>
      <c r="AL337" s="43">
        <f t="shared" si="52"/>
        <v>0</v>
      </c>
      <c r="AM337" s="43"/>
      <c r="AN337" s="45" t="str">
        <f t="shared" si="53"/>
        <v/>
      </c>
    </row>
    <row r="338" spans="1:40" ht="15.6">
      <c r="A338" s="5"/>
      <c r="B338" s="5"/>
      <c r="E338" s="17"/>
      <c r="F338" s="17"/>
      <c r="G338" s="17"/>
      <c r="H338" s="17"/>
      <c r="I338" s="17"/>
      <c r="J338" s="17"/>
      <c r="K338" s="17"/>
      <c r="L338" s="32"/>
      <c r="M338" s="61"/>
      <c r="N338" s="23"/>
      <c r="O338" s="23"/>
      <c r="P338" s="9"/>
      <c r="Q338" s="9"/>
      <c r="R338" s="9"/>
      <c r="S338" s="9"/>
      <c r="U338" s="42" t="str">
        <f t="shared" si="45"/>
        <v>, L:, E:, S:, TS:</v>
      </c>
      <c r="V338" s="42" t="str">
        <f t="shared" si="46"/>
        <v/>
      </c>
      <c r="W338" s="43">
        <f>IFERROR(VLOOKUP(A338,Esiehdot!A$11:D$15,4,0), 0)</f>
        <v>0</v>
      </c>
      <c r="X338" s="44">
        <f>IF(Esiehdot!D$4&gt;=IFERROR(VLOOKUP(E338,Valintalistat!D$2:H$7,5,0), 99),1,0)</f>
        <v>0</v>
      </c>
      <c r="Y338" s="44">
        <f>IF(Esiehdot!D$5&gt;=IFERROR(VLOOKUP(F338,Valintalistat!E$2:H$5,4,0), 99),1,0)</f>
        <v>0</v>
      </c>
      <c r="Z338" s="44">
        <f>IF(Esiehdot!D$6&gt;=IFERROR(VLOOKUP(G338,Valintalistat!F$2:H$5,3,0),99),1,0)</f>
        <v>0</v>
      </c>
      <c r="AA338" s="44">
        <f>IF(Esiehdot!D$8&gt;=IFERROR(VLOOKUP(H338,Valintalistat!G$2:H$5,2,0),99),1,0)</f>
        <v>0</v>
      </c>
      <c r="AB338" s="43">
        <f t="shared" si="47"/>
        <v>0</v>
      </c>
      <c r="AC338" s="44">
        <f>IF(Esiehdot!E$4=IFERROR(VLOOKUP(E338,Valintalistat!D$2:H$7,5,0),99),1,0)</f>
        <v>0</v>
      </c>
      <c r="AD338" s="44">
        <f>IF(Esiehdot!E$5=IFERROR(VLOOKUP(F338,Valintalistat!E$2:H$5,4,0),99),1,0)</f>
        <v>0</v>
      </c>
      <c r="AE338" s="44">
        <f>IF(Esiehdot!E$6=IFERROR(VLOOKUP(G338,Valintalistat!F$2:H$5,3,0),99),1,0)</f>
        <v>0</v>
      </c>
      <c r="AF338" s="44">
        <f>IF(Esiehdot!E$8=IFERROR(VLOOKUP(H338,Valintalistat!G$2:H$3,2,0),98),1,0)</f>
        <v>0</v>
      </c>
      <c r="AG338" s="43">
        <f t="shared" si="48"/>
        <v>0</v>
      </c>
      <c r="AH338" s="43">
        <f>IFERROR(HLOOKUP(Esiehdot!$B$17,Käyttötapauskriteerit!G$1:P223,338,0),1)</f>
        <v>1</v>
      </c>
      <c r="AI338" s="43">
        <f t="shared" si="49"/>
        <v>0</v>
      </c>
      <c r="AJ338" s="43">
        <f t="shared" si="50"/>
        <v>0</v>
      </c>
      <c r="AK338" s="43">
        <f t="shared" si="51"/>
        <v>0</v>
      </c>
      <c r="AL338" s="43">
        <f t="shared" si="52"/>
        <v>0</v>
      </c>
      <c r="AM338" s="43"/>
      <c r="AN338" s="45" t="str">
        <f t="shared" si="53"/>
        <v/>
      </c>
    </row>
    <row r="339" spans="1:40" ht="15.6">
      <c r="A339" s="5"/>
      <c r="B339" s="5"/>
      <c r="E339" s="17"/>
      <c r="F339" s="17"/>
      <c r="G339" s="17"/>
      <c r="H339" s="17"/>
      <c r="I339" s="17"/>
      <c r="J339" s="17"/>
      <c r="K339" s="17"/>
      <c r="L339" s="32"/>
      <c r="M339" s="61"/>
      <c r="N339" s="23"/>
      <c r="O339" s="23"/>
      <c r="P339" s="9"/>
      <c r="Q339" s="9"/>
      <c r="R339" s="9"/>
      <c r="S339" s="9"/>
      <c r="U339" s="42" t="str">
        <f t="shared" si="45"/>
        <v>, L:, E:, S:, TS:</v>
      </c>
      <c r="V339" s="42" t="str">
        <f t="shared" si="46"/>
        <v/>
      </c>
      <c r="W339" s="43">
        <f>IFERROR(VLOOKUP(A339,Esiehdot!A$11:D$15,4,0), 0)</f>
        <v>0</v>
      </c>
      <c r="X339" s="44">
        <f>IF(Esiehdot!D$4&gt;=IFERROR(VLOOKUP(E339,Valintalistat!D$2:H$7,5,0), 99),1,0)</f>
        <v>0</v>
      </c>
      <c r="Y339" s="44">
        <f>IF(Esiehdot!D$5&gt;=IFERROR(VLOOKUP(F339,Valintalistat!E$2:H$5,4,0), 99),1,0)</f>
        <v>0</v>
      </c>
      <c r="Z339" s="44">
        <f>IF(Esiehdot!D$6&gt;=IFERROR(VLOOKUP(G339,Valintalistat!F$2:H$5,3,0),99),1,0)</f>
        <v>0</v>
      </c>
      <c r="AA339" s="44">
        <f>IF(Esiehdot!D$8&gt;=IFERROR(VLOOKUP(H339,Valintalistat!G$2:H$5,2,0),99),1,0)</f>
        <v>0</v>
      </c>
      <c r="AB339" s="43">
        <f t="shared" si="47"/>
        <v>0</v>
      </c>
      <c r="AC339" s="44">
        <f>IF(Esiehdot!E$4=IFERROR(VLOOKUP(E339,Valintalistat!D$2:H$7,5,0),99),1,0)</f>
        <v>0</v>
      </c>
      <c r="AD339" s="44">
        <f>IF(Esiehdot!E$5=IFERROR(VLOOKUP(F339,Valintalistat!E$2:H$5,4,0),99),1,0)</f>
        <v>0</v>
      </c>
      <c r="AE339" s="44">
        <f>IF(Esiehdot!E$6=IFERROR(VLOOKUP(G339,Valintalistat!F$2:H$5,3,0),99),1,0)</f>
        <v>0</v>
      </c>
      <c r="AF339" s="44">
        <f>IF(Esiehdot!E$8=IFERROR(VLOOKUP(H339,Valintalistat!G$2:H$3,2,0),98),1,0)</f>
        <v>0</v>
      </c>
      <c r="AG339" s="43">
        <f t="shared" si="48"/>
        <v>0</v>
      </c>
      <c r="AH339" s="43">
        <f>IFERROR(HLOOKUP(Esiehdot!$B$17,Käyttötapauskriteerit!G$1:P223,339,0),1)</f>
        <v>1</v>
      </c>
      <c r="AI339" s="43">
        <f t="shared" si="49"/>
        <v>0</v>
      </c>
      <c r="AJ339" s="43">
        <f t="shared" si="50"/>
        <v>0</v>
      </c>
      <c r="AK339" s="43">
        <f t="shared" si="51"/>
        <v>0</v>
      </c>
      <c r="AL339" s="43">
        <f t="shared" si="52"/>
        <v>0</v>
      </c>
      <c r="AM339" s="43"/>
      <c r="AN339" s="45" t="str">
        <f t="shared" si="53"/>
        <v/>
      </c>
    </row>
    <row r="340" spans="1:40" ht="15.6">
      <c r="A340" s="5"/>
      <c r="B340" s="5"/>
      <c r="E340" s="17"/>
      <c r="F340" s="17"/>
      <c r="G340" s="17"/>
      <c r="H340" s="17"/>
      <c r="I340" s="17"/>
      <c r="J340" s="17"/>
      <c r="K340" s="17"/>
      <c r="L340" s="32"/>
      <c r="M340" s="61"/>
      <c r="N340" s="23"/>
      <c r="O340" s="23"/>
      <c r="P340" s="9"/>
      <c r="Q340" s="9"/>
      <c r="R340" s="9"/>
      <c r="S340" s="9"/>
      <c r="U340" s="42" t="str">
        <f t="shared" si="45"/>
        <v>, L:, E:, S:, TS:</v>
      </c>
      <c r="V340" s="42" t="str">
        <f t="shared" si="46"/>
        <v/>
      </c>
      <c r="W340" s="43">
        <f>IFERROR(VLOOKUP(A340,Esiehdot!A$11:D$15,4,0), 0)</f>
        <v>0</v>
      </c>
      <c r="X340" s="44">
        <f>IF(Esiehdot!D$4&gt;=IFERROR(VLOOKUP(E340,Valintalistat!D$2:H$7,5,0), 99),1,0)</f>
        <v>0</v>
      </c>
      <c r="Y340" s="44">
        <f>IF(Esiehdot!D$5&gt;=IFERROR(VLOOKUP(F340,Valintalistat!E$2:H$5,4,0), 99),1,0)</f>
        <v>0</v>
      </c>
      <c r="Z340" s="44">
        <f>IF(Esiehdot!D$6&gt;=IFERROR(VLOOKUP(G340,Valintalistat!F$2:H$5,3,0),99),1,0)</f>
        <v>0</v>
      </c>
      <c r="AA340" s="44">
        <f>IF(Esiehdot!D$8&gt;=IFERROR(VLOOKUP(H340,Valintalistat!G$2:H$5,2,0),99),1,0)</f>
        <v>0</v>
      </c>
      <c r="AB340" s="43">
        <f t="shared" si="47"/>
        <v>0</v>
      </c>
      <c r="AC340" s="44">
        <f>IF(Esiehdot!E$4=IFERROR(VLOOKUP(E340,Valintalistat!D$2:H$7,5,0),99),1,0)</f>
        <v>0</v>
      </c>
      <c r="AD340" s="44">
        <f>IF(Esiehdot!E$5=IFERROR(VLOOKUP(F340,Valintalistat!E$2:H$5,4,0),99),1,0)</f>
        <v>0</v>
      </c>
      <c r="AE340" s="44">
        <f>IF(Esiehdot!E$6=IFERROR(VLOOKUP(G340,Valintalistat!F$2:H$5,3,0),99),1,0)</f>
        <v>0</v>
      </c>
      <c r="AF340" s="44">
        <f>IF(Esiehdot!E$8=IFERROR(VLOOKUP(H340,Valintalistat!G$2:H$3,2,0),98),1,0)</f>
        <v>0</v>
      </c>
      <c r="AG340" s="43">
        <f t="shared" si="48"/>
        <v>0</v>
      </c>
      <c r="AH340" s="43">
        <f>IFERROR(HLOOKUP(Esiehdot!$B$17,Käyttötapauskriteerit!G$1:P223,340,0),1)</f>
        <v>1</v>
      </c>
      <c r="AI340" s="43">
        <f t="shared" si="49"/>
        <v>0</v>
      </c>
      <c r="AJ340" s="43">
        <f t="shared" si="50"/>
        <v>0</v>
      </c>
      <c r="AK340" s="43">
        <f t="shared" si="51"/>
        <v>0</v>
      </c>
      <c r="AL340" s="43">
        <f t="shared" si="52"/>
        <v>0</v>
      </c>
      <c r="AM340" s="43"/>
      <c r="AN340" s="45" t="str">
        <f t="shared" si="53"/>
        <v/>
      </c>
    </row>
    <row r="341" spans="1:40" ht="15.6">
      <c r="A341" s="5"/>
      <c r="B341" s="5"/>
      <c r="E341" s="17"/>
      <c r="F341" s="17"/>
      <c r="G341" s="17"/>
      <c r="H341" s="17"/>
      <c r="I341" s="17"/>
      <c r="J341" s="17"/>
      <c r="K341" s="17"/>
      <c r="L341" s="32"/>
      <c r="M341" s="61"/>
      <c r="N341" s="23"/>
      <c r="O341" s="23"/>
      <c r="P341" s="9"/>
      <c r="Q341" s="9"/>
      <c r="R341" s="9"/>
      <c r="S341" s="9"/>
      <c r="U341" s="42" t="str">
        <f t="shared" si="45"/>
        <v>, L:, E:, S:, TS:</v>
      </c>
      <c r="V341" s="42" t="str">
        <f t="shared" si="46"/>
        <v/>
      </c>
      <c r="W341" s="43">
        <f>IFERROR(VLOOKUP(A341,Esiehdot!A$11:D$15,4,0), 0)</f>
        <v>0</v>
      </c>
      <c r="X341" s="44">
        <f>IF(Esiehdot!D$4&gt;=IFERROR(VLOOKUP(E341,Valintalistat!D$2:H$7,5,0), 99),1,0)</f>
        <v>0</v>
      </c>
      <c r="Y341" s="44">
        <f>IF(Esiehdot!D$5&gt;=IFERROR(VLOOKUP(F341,Valintalistat!E$2:H$5,4,0), 99),1,0)</f>
        <v>0</v>
      </c>
      <c r="Z341" s="44">
        <f>IF(Esiehdot!D$6&gt;=IFERROR(VLOOKUP(G341,Valintalistat!F$2:H$5,3,0),99),1,0)</f>
        <v>0</v>
      </c>
      <c r="AA341" s="44">
        <f>IF(Esiehdot!D$8&gt;=IFERROR(VLOOKUP(H341,Valintalistat!G$2:H$5,2,0),99),1,0)</f>
        <v>0</v>
      </c>
      <c r="AB341" s="43">
        <f t="shared" si="47"/>
        <v>0</v>
      </c>
      <c r="AC341" s="44">
        <f>IF(Esiehdot!E$4=IFERROR(VLOOKUP(E341,Valintalistat!D$2:H$7,5,0),99),1,0)</f>
        <v>0</v>
      </c>
      <c r="AD341" s="44">
        <f>IF(Esiehdot!E$5=IFERROR(VLOOKUP(F341,Valintalistat!E$2:H$5,4,0),99),1,0)</f>
        <v>0</v>
      </c>
      <c r="AE341" s="44">
        <f>IF(Esiehdot!E$6=IFERROR(VLOOKUP(G341,Valintalistat!F$2:H$5,3,0),99),1,0)</f>
        <v>0</v>
      </c>
      <c r="AF341" s="44">
        <f>IF(Esiehdot!E$8=IFERROR(VLOOKUP(H341,Valintalistat!G$2:H$3,2,0),98),1,0)</f>
        <v>0</v>
      </c>
      <c r="AG341" s="43">
        <f t="shared" si="48"/>
        <v>0</v>
      </c>
      <c r="AH341" s="43">
        <f>IFERROR(HLOOKUP(Esiehdot!$B$17,Käyttötapauskriteerit!G$1:P223,341,0),1)</f>
        <v>1</v>
      </c>
      <c r="AI341" s="43">
        <f t="shared" si="49"/>
        <v>0</v>
      </c>
      <c r="AJ341" s="43">
        <f t="shared" si="50"/>
        <v>0</v>
      </c>
      <c r="AK341" s="43">
        <f t="shared" si="51"/>
        <v>0</v>
      </c>
      <c r="AL341" s="43">
        <f t="shared" si="52"/>
        <v>0</v>
      </c>
      <c r="AM341" s="43"/>
      <c r="AN341" s="45" t="str">
        <f t="shared" si="53"/>
        <v/>
      </c>
    </row>
    <row r="342" spans="1:40" ht="15.6">
      <c r="A342" s="5"/>
      <c r="B342" s="5"/>
      <c r="E342" s="17"/>
      <c r="F342" s="17"/>
      <c r="G342" s="17"/>
      <c r="H342" s="17"/>
      <c r="I342" s="17"/>
      <c r="J342" s="17"/>
      <c r="K342" s="17"/>
      <c r="L342" s="32"/>
      <c r="M342" s="61"/>
      <c r="N342" s="23"/>
      <c r="O342" s="23"/>
      <c r="P342" s="9"/>
      <c r="Q342" s="9"/>
      <c r="R342" s="9"/>
      <c r="S342" s="9"/>
      <c r="U342" s="42" t="str">
        <f t="shared" si="45"/>
        <v>, L:, E:, S:, TS:</v>
      </c>
      <c r="V342" s="42" t="str">
        <f t="shared" si="46"/>
        <v/>
      </c>
      <c r="W342" s="43">
        <f>IFERROR(VLOOKUP(A342,Esiehdot!A$11:D$15,4,0), 0)</f>
        <v>0</v>
      </c>
      <c r="X342" s="44">
        <f>IF(Esiehdot!D$4&gt;=IFERROR(VLOOKUP(E342,Valintalistat!D$2:H$7,5,0), 99),1,0)</f>
        <v>0</v>
      </c>
      <c r="Y342" s="44">
        <f>IF(Esiehdot!D$5&gt;=IFERROR(VLOOKUP(F342,Valintalistat!E$2:H$5,4,0), 99),1,0)</f>
        <v>0</v>
      </c>
      <c r="Z342" s="44">
        <f>IF(Esiehdot!D$6&gt;=IFERROR(VLOOKUP(G342,Valintalistat!F$2:H$5,3,0),99),1,0)</f>
        <v>0</v>
      </c>
      <c r="AA342" s="44">
        <f>IF(Esiehdot!D$8&gt;=IFERROR(VLOOKUP(H342,Valintalistat!G$2:H$5,2,0),99),1,0)</f>
        <v>0</v>
      </c>
      <c r="AB342" s="43">
        <f t="shared" si="47"/>
        <v>0</v>
      </c>
      <c r="AC342" s="44">
        <f>IF(Esiehdot!E$4=IFERROR(VLOOKUP(E342,Valintalistat!D$2:H$7,5,0),99),1,0)</f>
        <v>0</v>
      </c>
      <c r="AD342" s="44">
        <f>IF(Esiehdot!E$5=IFERROR(VLOOKUP(F342,Valintalistat!E$2:H$5,4,0),99),1,0)</f>
        <v>0</v>
      </c>
      <c r="AE342" s="44">
        <f>IF(Esiehdot!E$6=IFERROR(VLOOKUP(G342,Valintalistat!F$2:H$5,3,0),99),1,0)</f>
        <v>0</v>
      </c>
      <c r="AF342" s="44">
        <f>IF(Esiehdot!E$8=IFERROR(VLOOKUP(H342,Valintalistat!G$2:H$3,2,0),98),1,0)</f>
        <v>0</v>
      </c>
      <c r="AG342" s="43">
        <f t="shared" si="48"/>
        <v>0</v>
      </c>
      <c r="AH342" s="43">
        <f>IFERROR(HLOOKUP(Esiehdot!$B$17,Käyttötapauskriteerit!G$1:P223,342,0),1)</f>
        <v>1</v>
      </c>
      <c r="AI342" s="43">
        <f t="shared" si="49"/>
        <v>0</v>
      </c>
      <c r="AJ342" s="43">
        <f t="shared" si="50"/>
        <v>0</v>
      </c>
      <c r="AK342" s="43">
        <f t="shared" si="51"/>
        <v>0</v>
      </c>
      <c r="AL342" s="43">
        <f t="shared" si="52"/>
        <v>0</v>
      </c>
      <c r="AM342" s="43"/>
      <c r="AN342" s="45" t="str">
        <f t="shared" si="53"/>
        <v/>
      </c>
    </row>
    <row r="343" spans="1:40" ht="15.6">
      <c r="A343" s="5"/>
      <c r="B343" s="5"/>
      <c r="E343" s="17"/>
      <c r="F343" s="17"/>
      <c r="G343" s="17"/>
      <c r="H343" s="17"/>
      <c r="I343" s="17"/>
      <c r="J343" s="17"/>
      <c r="K343" s="17"/>
      <c r="L343" s="32"/>
      <c r="M343" s="61"/>
      <c r="N343" s="23"/>
      <c r="O343" s="23"/>
      <c r="P343" s="9"/>
      <c r="Q343" s="9"/>
      <c r="R343" s="9"/>
      <c r="S343" s="9"/>
      <c r="U343" s="42" t="str">
        <f t="shared" si="45"/>
        <v>, L:, E:, S:, TS:</v>
      </c>
      <c r="V343" s="42" t="str">
        <f t="shared" si="46"/>
        <v/>
      </c>
      <c r="W343" s="43">
        <f>IFERROR(VLOOKUP(A343,Esiehdot!A$11:D$15,4,0), 0)</f>
        <v>0</v>
      </c>
      <c r="X343" s="44">
        <f>IF(Esiehdot!D$4&gt;=IFERROR(VLOOKUP(E343,Valintalistat!D$2:H$7,5,0), 99),1,0)</f>
        <v>0</v>
      </c>
      <c r="Y343" s="44">
        <f>IF(Esiehdot!D$5&gt;=IFERROR(VLOOKUP(F343,Valintalistat!E$2:H$5,4,0), 99),1,0)</f>
        <v>0</v>
      </c>
      <c r="Z343" s="44">
        <f>IF(Esiehdot!D$6&gt;=IFERROR(VLOOKUP(G343,Valintalistat!F$2:H$5,3,0),99),1,0)</f>
        <v>0</v>
      </c>
      <c r="AA343" s="44">
        <f>IF(Esiehdot!D$8&gt;=IFERROR(VLOOKUP(H343,Valintalistat!G$2:H$5,2,0),99),1,0)</f>
        <v>0</v>
      </c>
      <c r="AB343" s="43">
        <f t="shared" si="47"/>
        <v>0</v>
      </c>
      <c r="AC343" s="44">
        <f>IF(Esiehdot!E$4=IFERROR(VLOOKUP(E343,Valintalistat!D$2:H$7,5,0),99),1,0)</f>
        <v>0</v>
      </c>
      <c r="AD343" s="44">
        <f>IF(Esiehdot!E$5=IFERROR(VLOOKUP(F343,Valintalistat!E$2:H$5,4,0),99),1,0)</f>
        <v>0</v>
      </c>
      <c r="AE343" s="44">
        <f>IF(Esiehdot!E$6=IFERROR(VLOOKUP(G343,Valintalistat!F$2:H$5,3,0),99),1,0)</f>
        <v>0</v>
      </c>
      <c r="AF343" s="44">
        <f>IF(Esiehdot!E$8=IFERROR(VLOOKUP(H343,Valintalistat!G$2:H$3,2,0),98),1,0)</f>
        <v>0</v>
      </c>
      <c r="AG343" s="43">
        <f t="shared" si="48"/>
        <v>0</v>
      </c>
      <c r="AH343" s="43">
        <f>IFERROR(HLOOKUP(Esiehdot!$B$17,Käyttötapauskriteerit!G$1:P223,343,0),1)</f>
        <v>1</v>
      </c>
      <c r="AI343" s="43">
        <f t="shared" si="49"/>
        <v>0</v>
      </c>
      <c r="AJ343" s="43">
        <f t="shared" si="50"/>
        <v>0</v>
      </c>
      <c r="AK343" s="43">
        <f t="shared" si="51"/>
        <v>0</v>
      </c>
      <c r="AL343" s="43">
        <f t="shared" si="52"/>
        <v>0</v>
      </c>
      <c r="AM343" s="43"/>
      <c r="AN343" s="45" t="str">
        <f t="shared" si="53"/>
        <v/>
      </c>
    </row>
    <row r="344" spans="1:40" ht="15.6">
      <c r="A344" s="5"/>
      <c r="B344" s="5"/>
      <c r="E344" s="17"/>
      <c r="F344" s="17"/>
      <c r="G344" s="17"/>
      <c r="H344" s="17"/>
      <c r="I344" s="17"/>
      <c r="J344" s="17"/>
      <c r="K344" s="17"/>
      <c r="L344" s="32"/>
      <c r="M344" s="61"/>
      <c r="N344" s="23"/>
      <c r="O344" s="23"/>
      <c r="P344" s="9"/>
      <c r="Q344" s="9"/>
      <c r="R344" s="9"/>
      <c r="S344" s="9"/>
      <c r="U344" s="42" t="str">
        <f t="shared" si="45"/>
        <v>, L:, E:, S:, TS:</v>
      </c>
      <c r="V344" s="42" t="str">
        <f t="shared" si="46"/>
        <v/>
      </c>
      <c r="W344" s="43">
        <f>IFERROR(VLOOKUP(A344,Esiehdot!A$11:D$15,4,0), 0)</f>
        <v>0</v>
      </c>
      <c r="X344" s="44">
        <f>IF(Esiehdot!D$4&gt;=IFERROR(VLOOKUP(E344,Valintalistat!D$2:H$7,5,0), 99),1,0)</f>
        <v>0</v>
      </c>
      <c r="Y344" s="44">
        <f>IF(Esiehdot!D$5&gt;=IFERROR(VLOOKUP(F344,Valintalistat!E$2:H$5,4,0), 99),1,0)</f>
        <v>0</v>
      </c>
      <c r="Z344" s="44">
        <f>IF(Esiehdot!D$6&gt;=IFERROR(VLOOKUP(G344,Valintalistat!F$2:H$5,3,0),99),1,0)</f>
        <v>0</v>
      </c>
      <c r="AA344" s="44">
        <f>IF(Esiehdot!D$8&gt;=IFERROR(VLOOKUP(H344,Valintalistat!G$2:H$5,2,0),99),1,0)</f>
        <v>0</v>
      </c>
      <c r="AB344" s="43">
        <f t="shared" si="47"/>
        <v>0</v>
      </c>
      <c r="AC344" s="44">
        <f>IF(Esiehdot!E$4=IFERROR(VLOOKUP(E344,Valintalistat!D$2:H$7,5,0),99),1,0)</f>
        <v>0</v>
      </c>
      <c r="AD344" s="44">
        <f>IF(Esiehdot!E$5=IFERROR(VLOOKUP(F344,Valintalistat!E$2:H$5,4,0),99),1,0)</f>
        <v>0</v>
      </c>
      <c r="AE344" s="44">
        <f>IF(Esiehdot!E$6=IFERROR(VLOOKUP(G344,Valintalistat!F$2:H$5,3,0),99),1,0)</f>
        <v>0</v>
      </c>
      <c r="AF344" s="44">
        <f>IF(Esiehdot!E$8=IFERROR(VLOOKUP(H344,Valintalistat!G$2:H$3,2,0),98),1,0)</f>
        <v>0</v>
      </c>
      <c r="AG344" s="43">
        <f t="shared" si="48"/>
        <v>0</v>
      </c>
      <c r="AH344" s="43">
        <f>IFERROR(HLOOKUP(Esiehdot!$B$17,Käyttötapauskriteerit!G$1:P223,344,0),1)</f>
        <v>1</v>
      </c>
      <c r="AI344" s="43">
        <f t="shared" si="49"/>
        <v>0</v>
      </c>
      <c r="AJ344" s="43">
        <f t="shared" si="50"/>
        <v>0</v>
      </c>
      <c r="AK344" s="43">
        <f t="shared" si="51"/>
        <v>0</v>
      </c>
      <c r="AL344" s="43">
        <f t="shared" si="52"/>
        <v>0</v>
      </c>
      <c r="AM344" s="43"/>
      <c r="AN344" s="45" t="str">
        <f t="shared" si="53"/>
        <v/>
      </c>
    </row>
    <row r="345" spans="1:40" ht="15.6">
      <c r="A345" s="5"/>
      <c r="B345" s="5"/>
      <c r="E345" s="17"/>
      <c r="F345" s="17"/>
      <c r="G345" s="17"/>
      <c r="H345" s="17"/>
      <c r="I345" s="17"/>
      <c r="J345" s="17"/>
      <c r="K345" s="17"/>
      <c r="L345" s="32"/>
      <c r="M345" s="61"/>
      <c r="N345" s="23"/>
      <c r="O345" s="23"/>
      <c r="P345" s="9"/>
      <c r="Q345" s="9"/>
      <c r="R345" s="9"/>
      <c r="S345" s="9"/>
      <c r="U345" s="42" t="str">
        <f t="shared" si="45"/>
        <v>, L:, E:, S:, TS:</v>
      </c>
      <c r="V345" s="42" t="str">
        <f t="shared" si="46"/>
        <v/>
      </c>
      <c r="W345" s="43">
        <f>IFERROR(VLOOKUP(A345,Esiehdot!A$11:D$15,4,0), 0)</f>
        <v>0</v>
      </c>
      <c r="X345" s="44">
        <f>IF(Esiehdot!D$4&gt;=IFERROR(VLOOKUP(E345,Valintalistat!D$2:H$7,5,0), 99),1,0)</f>
        <v>0</v>
      </c>
      <c r="Y345" s="44">
        <f>IF(Esiehdot!D$5&gt;=IFERROR(VLOOKUP(F345,Valintalistat!E$2:H$5,4,0), 99),1,0)</f>
        <v>0</v>
      </c>
      <c r="Z345" s="44">
        <f>IF(Esiehdot!D$6&gt;=IFERROR(VLOOKUP(G345,Valintalistat!F$2:H$5,3,0),99),1,0)</f>
        <v>0</v>
      </c>
      <c r="AA345" s="44">
        <f>IF(Esiehdot!D$8&gt;=IFERROR(VLOOKUP(H345,Valintalistat!G$2:H$5,2,0),99),1,0)</f>
        <v>0</v>
      </c>
      <c r="AB345" s="43">
        <f t="shared" si="47"/>
        <v>0</v>
      </c>
      <c r="AC345" s="44">
        <f>IF(Esiehdot!E$4=IFERROR(VLOOKUP(E345,Valintalistat!D$2:H$7,5,0),99),1,0)</f>
        <v>0</v>
      </c>
      <c r="AD345" s="44">
        <f>IF(Esiehdot!E$5=IFERROR(VLOOKUP(F345,Valintalistat!E$2:H$5,4,0),99),1,0)</f>
        <v>0</v>
      </c>
      <c r="AE345" s="44">
        <f>IF(Esiehdot!E$6=IFERROR(VLOOKUP(G345,Valintalistat!F$2:H$5,3,0),99),1,0)</f>
        <v>0</v>
      </c>
      <c r="AF345" s="44">
        <f>IF(Esiehdot!E$8=IFERROR(VLOOKUP(H345,Valintalistat!G$2:H$3,2,0),98),1,0)</f>
        <v>0</v>
      </c>
      <c r="AG345" s="43">
        <f t="shared" si="48"/>
        <v>0</v>
      </c>
      <c r="AH345" s="43">
        <f>IFERROR(HLOOKUP(Esiehdot!$B$17,Käyttötapauskriteerit!G$1:P223,345,0),1)</f>
        <v>1</v>
      </c>
      <c r="AI345" s="43">
        <f t="shared" si="49"/>
        <v>0</v>
      </c>
      <c r="AJ345" s="43">
        <f t="shared" si="50"/>
        <v>0</v>
      </c>
      <c r="AK345" s="43">
        <f t="shared" si="51"/>
        <v>0</v>
      </c>
      <c r="AL345" s="43">
        <f t="shared" si="52"/>
        <v>0</v>
      </c>
      <c r="AM345" s="43"/>
      <c r="AN345" s="45" t="str">
        <f t="shared" si="53"/>
        <v/>
      </c>
    </row>
    <row r="346" spans="1:40" ht="15.6">
      <c r="A346" s="5"/>
      <c r="B346" s="5"/>
      <c r="E346" s="17"/>
      <c r="F346" s="17"/>
      <c r="G346" s="17"/>
      <c r="H346" s="17"/>
      <c r="I346" s="17"/>
      <c r="J346" s="17"/>
      <c r="K346" s="17"/>
      <c r="L346" s="32"/>
      <c r="M346" s="61"/>
      <c r="N346" s="23"/>
      <c r="O346" s="23"/>
      <c r="P346" s="9"/>
      <c r="Q346" s="9"/>
      <c r="R346" s="9"/>
      <c r="S346" s="9"/>
      <c r="U346" s="42" t="str">
        <f t="shared" si="45"/>
        <v>, L:, E:, S:, TS:</v>
      </c>
      <c r="V346" s="42" t="str">
        <f t="shared" si="46"/>
        <v/>
      </c>
      <c r="W346" s="43">
        <f>IFERROR(VLOOKUP(A346,Esiehdot!A$11:D$15,4,0), 0)</f>
        <v>0</v>
      </c>
      <c r="X346" s="44">
        <f>IF(Esiehdot!D$4&gt;=IFERROR(VLOOKUP(E346,Valintalistat!D$2:H$7,5,0), 99),1,0)</f>
        <v>0</v>
      </c>
      <c r="Y346" s="44">
        <f>IF(Esiehdot!D$5&gt;=IFERROR(VLOOKUP(F346,Valintalistat!E$2:H$5,4,0), 99),1,0)</f>
        <v>0</v>
      </c>
      <c r="Z346" s="44">
        <f>IF(Esiehdot!D$6&gt;=IFERROR(VLOOKUP(G346,Valintalistat!F$2:H$5,3,0),99),1,0)</f>
        <v>0</v>
      </c>
      <c r="AA346" s="44">
        <f>IF(Esiehdot!D$8&gt;=IFERROR(VLOOKUP(H346,Valintalistat!G$2:H$5,2,0),99),1,0)</f>
        <v>0</v>
      </c>
      <c r="AB346" s="43">
        <f t="shared" si="47"/>
        <v>0</v>
      </c>
      <c r="AC346" s="44">
        <f>IF(Esiehdot!E$4=IFERROR(VLOOKUP(E346,Valintalistat!D$2:H$7,5,0),99),1,0)</f>
        <v>0</v>
      </c>
      <c r="AD346" s="44">
        <f>IF(Esiehdot!E$5=IFERROR(VLOOKUP(F346,Valintalistat!E$2:H$5,4,0),99),1,0)</f>
        <v>0</v>
      </c>
      <c r="AE346" s="44">
        <f>IF(Esiehdot!E$6=IFERROR(VLOOKUP(G346,Valintalistat!F$2:H$5,3,0),99),1,0)</f>
        <v>0</v>
      </c>
      <c r="AF346" s="44">
        <f>IF(Esiehdot!E$8=IFERROR(VLOOKUP(H346,Valintalistat!G$2:H$3,2,0),98),1,0)</f>
        <v>0</v>
      </c>
      <c r="AG346" s="43">
        <f t="shared" si="48"/>
        <v>0</v>
      </c>
      <c r="AH346" s="43">
        <f>IFERROR(HLOOKUP(Esiehdot!$B$17,Käyttötapauskriteerit!G$1:P223,346,0),1)</f>
        <v>1</v>
      </c>
      <c r="AI346" s="43">
        <f t="shared" si="49"/>
        <v>0</v>
      </c>
      <c r="AJ346" s="43">
        <f t="shared" si="50"/>
        <v>0</v>
      </c>
      <c r="AK346" s="43">
        <f t="shared" si="51"/>
        <v>0</v>
      </c>
      <c r="AL346" s="43">
        <f t="shared" si="52"/>
        <v>0</v>
      </c>
      <c r="AM346" s="43"/>
      <c r="AN346" s="45" t="str">
        <f t="shared" si="53"/>
        <v/>
      </c>
    </row>
    <row r="347" spans="1:40" ht="15.6">
      <c r="A347" s="5"/>
      <c r="B347" s="5"/>
      <c r="E347" s="17"/>
      <c r="F347" s="17"/>
      <c r="G347" s="17"/>
      <c r="H347" s="17"/>
      <c r="I347" s="17"/>
      <c r="J347" s="17"/>
      <c r="K347" s="17"/>
      <c r="L347" s="32"/>
      <c r="M347" s="61"/>
      <c r="N347" s="23"/>
      <c r="O347" s="23"/>
      <c r="P347" s="9"/>
      <c r="Q347" s="9"/>
      <c r="R347" s="9"/>
      <c r="S347" s="9"/>
      <c r="U347" s="42" t="str">
        <f t="shared" si="45"/>
        <v>, L:, E:, S:, TS:</v>
      </c>
      <c r="V347" s="42" t="str">
        <f t="shared" si="46"/>
        <v/>
      </c>
      <c r="W347" s="43">
        <f>IFERROR(VLOOKUP(A347,Esiehdot!A$11:D$15,4,0), 0)</f>
        <v>0</v>
      </c>
      <c r="X347" s="44">
        <f>IF(Esiehdot!D$4&gt;=IFERROR(VLOOKUP(E347,Valintalistat!D$2:H$7,5,0), 99),1,0)</f>
        <v>0</v>
      </c>
      <c r="Y347" s="44">
        <f>IF(Esiehdot!D$5&gt;=IFERROR(VLOOKUP(F347,Valintalistat!E$2:H$5,4,0), 99),1,0)</f>
        <v>0</v>
      </c>
      <c r="Z347" s="44">
        <f>IF(Esiehdot!D$6&gt;=IFERROR(VLOOKUP(G347,Valintalistat!F$2:H$5,3,0),99),1,0)</f>
        <v>0</v>
      </c>
      <c r="AA347" s="44">
        <f>IF(Esiehdot!D$8&gt;=IFERROR(VLOOKUP(H347,Valintalistat!G$2:H$5,2,0),99),1,0)</f>
        <v>0</v>
      </c>
      <c r="AB347" s="43">
        <f t="shared" si="47"/>
        <v>0</v>
      </c>
      <c r="AC347" s="44">
        <f>IF(Esiehdot!E$4=IFERROR(VLOOKUP(E347,Valintalistat!D$2:H$7,5,0),99),1,0)</f>
        <v>0</v>
      </c>
      <c r="AD347" s="44">
        <f>IF(Esiehdot!E$5=IFERROR(VLOOKUP(F347,Valintalistat!E$2:H$5,4,0),99),1,0)</f>
        <v>0</v>
      </c>
      <c r="AE347" s="44">
        <f>IF(Esiehdot!E$6=IFERROR(VLOOKUP(G347,Valintalistat!F$2:H$5,3,0),99),1,0)</f>
        <v>0</v>
      </c>
      <c r="AF347" s="44">
        <f>IF(Esiehdot!E$8=IFERROR(VLOOKUP(H347,Valintalistat!G$2:H$3,2,0),98),1,0)</f>
        <v>0</v>
      </c>
      <c r="AG347" s="43">
        <f t="shared" si="48"/>
        <v>0</v>
      </c>
      <c r="AH347" s="43">
        <f>IFERROR(HLOOKUP(Esiehdot!$B$17,Käyttötapauskriteerit!G$1:P223,347,0),1)</f>
        <v>1</v>
      </c>
      <c r="AI347" s="43">
        <f t="shared" si="49"/>
        <v>0</v>
      </c>
      <c r="AJ347" s="43">
        <f t="shared" si="50"/>
        <v>0</v>
      </c>
      <c r="AK347" s="43">
        <f t="shared" si="51"/>
        <v>0</v>
      </c>
      <c r="AL347" s="43">
        <f t="shared" si="52"/>
        <v>0</v>
      </c>
      <c r="AM347" s="43"/>
      <c r="AN347" s="45" t="str">
        <f t="shared" si="53"/>
        <v/>
      </c>
    </row>
    <row r="348" spans="1:40" ht="15.6">
      <c r="A348" s="5"/>
      <c r="B348" s="5"/>
      <c r="E348" s="17"/>
      <c r="F348" s="17"/>
      <c r="G348" s="17"/>
      <c r="H348" s="17"/>
      <c r="I348" s="17"/>
      <c r="J348" s="17"/>
      <c r="K348" s="17"/>
      <c r="L348" s="32"/>
      <c r="M348" s="61"/>
      <c r="N348" s="23"/>
      <c r="O348" s="23"/>
      <c r="P348" s="9"/>
      <c r="Q348" s="9"/>
      <c r="R348" s="9"/>
      <c r="S348" s="9"/>
      <c r="U348" s="42" t="str">
        <f t="shared" si="45"/>
        <v>, L:, E:, S:, TS:</v>
      </c>
      <c r="V348" s="42" t="str">
        <f t="shared" si="46"/>
        <v/>
      </c>
      <c r="W348" s="43">
        <f>IFERROR(VLOOKUP(A348,Esiehdot!A$11:D$15,4,0), 0)</f>
        <v>0</v>
      </c>
      <c r="X348" s="44">
        <f>IF(Esiehdot!D$4&gt;=IFERROR(VLOOKUP(E348,Valintalistat!D$2:H$7,5,0), 99),1,0)</f>
        <v>0</v>
      </c>
      <c r="Y348" s="44">
        <f>IF(Esiehdot!D$5&gt;=IFERROR(VLOOKUP(F348,Valintalistat!E$2:H$5,4,0), 99),1,0)</f>
        <v>0</v>
      </c>
      <c r="Z348" s="44">
        <f>IF(Esiehdot!D$6&gt;=IFERROR(VLOOKUP(G348,Valintalistat!F$2:H$5,3,0),99),1,0)</f>
        <v>0</v>
      </c>
      <c r="AA348" s="44">
        <f>IF(Esiehdot!D$8&gt;=IFERROR(VLOOKUP(H348,Valintalistat!G$2:H$5,2,0),99),1,0)</f>
        <v>0</v>
      </c>
      <c r="AB348" s="43">
        <f t="shared" si="47"/>
        <v>0</v>
      </c>
      <c r="AC348" s="44">
        <f>IF(Esiehdot!E$4=IFERROR(VLOOKUP(E348,Valintalistat!D$2:H$7,5,0),99),1,0)</f>
        <v>0</v>
      </c>
      <c r="AD348" s="44">
        <f>IF(Esiehdot!E$5=IFERROR(VLOOKUP(F348,Valintalistat!E$2:H$5,4,0),99),1,0)</f>
        <v>0</v>
      </c>
      <c r="AE348" s="44">
        <f>IF(Esiehdot!E$6=IFERROR(VLOOKUP(G348,Valintalistat!F$2:H$5,3,0),99),1,0)</f>
        <v>0</v>
      </c>
      <c r="AF348" s="44">
        <f>IF(Esiehdot!E$8=IFERROR(VLOOKUP(H348,Valintalistat!G$2:H$3,2,0),98),1,0)</f>
        <v>0</v>
      </c>
      <c r="AG348" s="43">
        <f t="shared" si="48"/>
        <v>0</v>
      </c>
      <c r="AH348" s="43">
        <f>IFERROR(HLOOKUP(Esiehdot!$B$17,Käyttötapauskriteerit!G$1:P223,348,0),1)</f>
        <v>1</v>
      </c>
      <c r="AI348" s="43">
        <f t="shared" si="49"/>
        <v>0</v>
      </c>
      <c r="AJ348" s="43">
        <f t="shared" si="50"/>
        <v>0</v>
      </c>
      <c r="AK348" s="43">
        <f t="shared" si="51"/>
        <v>0</v>
      </c>
      <c r="AL348" s="43">
        <f t="shared" si="52"/>
        <v>0</v>
      </c>
      <c r="AM348" s="43"/>
      <c r="AN348" s="45" t="str">
        <f t="shared" si="53"/>
        <v/>
      </c>
    </row>
    <row r="349" spans="1:40" ht="15.6">
      <c r="A349" s="5"/>
      <c r="B349" s="5"/>
      <c r="E349" s="17"/>
      <c r="F349" s="17"/>
      <c r="G349" s="17"/>
      <c r="H349" s="17"/>
      <c r="I349" s="17"/>
      <c r="J349" s="17"/>
      <c r="K349" s="17"/>
      <c r="L349" s="32"/>
      <c r="M349" s="61"/>
      <c r="N349" s="23"/>
      <c r="O349" s="23"/>
      <c r="P349" s="9"/>
      <c r="Q349" s="9"/>
      <c r="R349" s="9"/>
      <c r="S349" s="9"/>
      <c r="U349" s="42" t="str">
        <f t="shared" si="45"/>
        <v>, L:, E:, S:, TS:</v>
      </c>
      <c r="V349" s="42" t="str">
        <f t="shared" si="46"/>
        <v/>
      </c>
      <c r="W349" s="43">
        <f>IFERROR(VLOOKUP(A349,Esiehdot!A$11:D$15,4,0), 0)</f>
        <v>0</v>
      </c>
      <c r="X349" s="44">
        <f>IF(Esiehdot!D$4&gt;=IFERROR(VLOOKUP(E349,Valintalistat!D$2:H$7,5,0), 99),1,0)</f>
        <v>0</v>
      </c>
      <c r="Y349" s="44">
        <f>IF(Esiehdot!D$5&gt;=IFERROR(VLOOKUP(F349,Valintalistat!E$2:H$5,4,0), 99),1,0)</f>
        <v>0</v>
      </c>
      <c r="Z349" s="44">
        <f>IF(Esiehdot!D$6&gt;=IFERROR(VLOOKUP(G349,Valintalistat!F$2:H$5,3,0),99),1,0)</f>
        <v>0</v>
      </c>
      <c r="AA349" s="44">
        <f>IF(Esiehdot!D$8&gt;=IFERROR(VLOOKUP(H349,Valintalistat!G$2:H$5,2,0),99),1,0)</f>
        <v>0</v>
      </c>
      <c r="AB349" s="43">
        <f t="shared" si="47"/>
        <v>0</v>
      </c>
      <c r="AC349" s="44">
        <f>IF(Esiehdot!E$4=IFERROR(VLOOKUP(E349,Valintalistat!D$2:H$7,5,0),99),1,0)</f>
        <v>0</v>
      </c>
      <c r="AD349" s="44">
        <f>IF(Esiehdot!E$5=IFERROR(VLOOKUP(F349,Valintalistat!E$2:H$5,4,0),99),1,0)</f>
        <v>0</v>
      </c>
      <c r="AE349" s="44">
        <f>IF(Esiehdot!E$6=IFERROR(VLOOKUP(G349,Valintalistat!F$2:H$5,3,0),99),1,0)</f>
        <v>0</v>
      </c>
      <c r="AF349" s="44">
        <f>IF(Esiehdot!E$8=IFERROR(VLOOKUP(H349,Valintalistat!G$2:H$3,2,0),98),1,0)</f>
        <v>0</v>
      </c>
      <c r="AG349" s="43">
        <f t="shared" si="48"/>
        <v>0</v>
      </c>
      <c r="AH349" s="43">
        <f>IFERROR(HLOOKUP(Esiehdot!$B$17,Käyttötapauskriteerit!G$1:P223,349,0),1)</f>
        <v>1</v>
      </c>
      <c r="AI349" s="43">
        <f t="shared" si="49"/>
        <v>0</v>
      </c>
      <c r="AJ349" s="43">
        <f t="shared" si="50"/>
        <v>0</v>
      </c>
      <c r="AK349" s="43">
        <f t="shared" si="51"/>
        <v>0</v>
      </c>
      <c r="AL349" s="43">
        <f t="shared" si="52"/>
        <v>0</v>
      </c>
      <c r="AM349" s="43"/>
      <c r="AN349" s="45" t="str">
        <f t="shared" si="53"/>
        <v/>
      </c>
    </row>
    <row r="350" spans="1:40" ht="15.6">
      <c r="A350" s="5"/>
      <c r="B350" s="5"/>
      <c r="E350" s="17"/>
      <c r="F350" s="17"/>
      <c r="G350" s="17"/>
      <c r="H350" s="17"/>
      <c r="I350" s="17"/>
      <c r="J350" s="17"/>
      <c r="K350" s="17"/>
      <c r="L350" s="32"/>
      <c r="M350" s="61"/>
      <c r="N350" s="23"/>
      <c r="O350" s="23"/>
      <c r="P350" s="9"/>
      <c r="Q350" s="9"/>
      <c r="R350" s="9"/>
      <c r="S350" s="9"/>
      <c r="U350" s="42" t="str">
        <f t="shared" si="45"/>
        <v>, L:, E:, S:, TS:</v>
      </c>
      <c r="V350" s="42" t="str">
        <f t="shared" si="46"/>
        <v/>
      </c>
      <c r="W350" s="43">
        <f>IFERROR(VLOOKUP(A350,Esiehdot!A$11:D$15,4,0), 0)</f>
        <v>0</v>
      </c>
      <c r="X350" s="44">
        <f>IF(Esiehdot!D$4&gt;=IFERROR(VLOOKUP(E350,Valintalistat!D$2:H$7,5,0), 99),1,0)</f>
        <v>0</v>
      </c>
      <c r="Y350" s="44">
        <f>IF(Esiehdot!D$5&gt;=IFERROR(VLOOKUP(F350,Valintalistat!E$2:H$5,4,0), 99),1,0)</f>
        <v>0</v>
      </c>
      <c r="Z350" s="44">
        <f>IF(Esiehdot!D$6&gt;=IFERROR(VLOOKUP(G350,Valintalistat!F$2:H$5,3,0),99),1,0)</f>
        <v>0</v>
      </c>
      <c r="AA350" s="44">
        <f>IF(Esiehdot!D$8&gt;=IFERROR(VLOOKUP(H350,Valintalistat!G$2:H$5,2,0),99),1,0)</f>
        <v>0</v>
      </c>
      <c r="AB350" s="43">
        <f t="shared" si="47"/>
        <v>0</v>
      </c>
      <c r="AC350" s="44">
        <f>IF(Esiehdot!E$4=IFERROR(VLOOKUP(E350,Valintalistat!D$2:H$7,5,0),99),1,0)</f>
        <v>0</v>
      </c>
      <c r="AD350" s="44">
        <f>IF(Esiehdot!E$5=IFERROR(VLOOKUP(F350,Valintalistat!E$2:H$5,4,0),99),1,0)</f>
        <v>0</v>
      </c>
      <c r="AE350" s="44">
        <f>IF(Esiehdot!E$6=IFERROR(VLOOKUP(G350,Valintalistat!F$2:H$5,3,0),99),1,0)</f>
        <v>0</v>
      </c>
      <c r="AF350" s="44">
        <f>IF(Esiehdot!E$8=IFERROR(VLOOKUP(H350,Valintalistat!G$2:H$3,2,0),98),1,0)</f>
        <v>0</v>
      </c>
      <c r="AG350" s="43">
        <f t="shared" si="48"/>
        <v>0</v>
      </c>
      <c r="AH350" s="43">
        <f>IFERROR(HLOOKUP(Esiehdot!$B$17,Käyttötapauskriteerit!G$1:P223,350,0),1)</f>
        <v>1</v>
      </c>
      <c r="AI350" s="43">
        <f t="shared" si="49"/>
        <v>0</v>
      </c>
      <c r="AJ350" s="43">
        <f t="shared" si="50"/>
        <v>0</v>
      </c>
      <c r="AK350" s="43">
        <f t="shared" si="51"/>
        <v>0</v>
      </c>
      <c r="AL350" s="43">
        <f t="shared" si="52"/>
        <v>0</v>
      </c>
      <c r="AM350" s="43"/>
      <c r="AN350" s="45" t="str">
        <f t="shared" si="53"/>
        <v/>
      </c>
    </row>
    <row r="351" spans="1:40" ht="15.6">
      <c r="A351" s="5"/>
      <c r="B351" s="5"/>
      <c r="E351" s="17"/>
      <c r="F351" s="17"/>
      <c r="G351" s="17"/>
      <c r="H351" s="17"/>
      <c r="I351" s="17"/>
      <c r="J351" s="17"/>
      <c r="K351" s="17"/>
      <c r="L351" s="32"/>
      <c r="M351" s="61"/>
      <c r="N351" s="23"/>
      <c r="O351" s="23"/>
      <c r="P351" s="9"/>
      <c r="Q351" s="9"/>
      <c r="R351" s="9"/>
      <c r="S351" s="9"/>
      <c r="U351" s="42" t="str">
        <f t="shared" si="45"/>
        <v>, L:, E:, S:, TS:</v>
      </c>
      <c r="V351" s="42" t="str">
        <f t="shared" si="46"/>
        <v/>
      </c>
      <c r="W351" s="43">
        <f>IFERROR(VLOOKUP(A351,Esiehdot!A$11:D$15,4,0), 0)</f>
        <v>0</v>
      </c>
      <c r="X351" s="44">
        <f>IF(Esiehdot!D$4&gt;=IFERROR(VLOOKUP(E351,Valintalistat!D$2:H$7,5,0), 99),1,0)</f>
        <v>0</v>
      </c>
      <c r="Y351" s="44">
        <f>IF(Esiehdot!D$5&gt;=IFERROR(VLOOKUP(F351,Valintalistat!E$2:H$5,4,0), 99),1,0)</f>
        <v>0</v>
      </c>
      <c r="Z351" s="44">
        <f>IF(Esiehdot!D$6&gt;=IFERROR(VLOOKUP(G351,Valintalistat!F$2:H$5,3,0),99),1,0)</f>
        <v>0</v>
      </c>
      <c r="AA351" s="44">
        <f>IF(Esiehdot!D$8&gt;=IFERROR(VLOOKUP(H351,Valintalistat!G$2:H$5,2,0),99),1,0)</f>
        <v>0</v>
      </c>
      <c r="AB351" s="43">
        <f t="shared" si="47"/>
        <v>0</v>
      </c>
      <c r="AC351" s="44">
        <f>IF(Esiehdot!E$4=IFERROR(VLOOKUP(E351,Valintalistat!D$2:H$7,5,0),99),1,0)</f>
        <v>0</v>
      </c>
      <c r="AD351" s="44">
        <f>IF(Esiehdot!E$5=IFERROR(VLOOKUP(F351,Valintalistat!E$2:H$5,4,0),99),1,0)</f>
        <v>0</v>
      </c>
      <c r="AE351" s="44">
        <f>IF(Esiehdot!E$6=IFERROR(VLOOKUP(G351,Valintalistat!F$2:H$5,3,0),99),1,0)</f>
        <v>0</v>
      </c>
      <c r="AF351" s="44">
        <f>IF(Esiehdot!E$8=IFERROR(VLOOKUP(H351,Valintalistat!G$2:H$3,2,0),98),1,0)</f>
        <v>0</v>
      </c>
      <c r="AG351" s="43">
        <f t="shared" si="48"/>
        <v>0</v>
      </c>
      <c r="AH351" s="43">
        <f>IFERROR(HLOOKUP(Esiehdot!$B$17,Käyttötapauskriteerit!G$1:P223,351,0),1)</f>
        <v>1</v>
      </c>
      <c r="AI351" s="43">
        <f t="shared" si="49"/>
        <v>0</v>
      </c>
      <c r="AJ351" s="43">
        <f t="shared" si="50"/>
        <v>0</v>
      </c>
      <c r="AK351" s="43">
        <f t="shared" si="51"/>
        <v>0</v>
      </c>
      <c r="AL351" s="43">
        <f t="shared" si="52"/>
        <v>0</v>
      </c>
      <c r="AM351" s="43"/>
      <c r="AN351" s="45" t="str">
        <f t="shared" si="53"/>
        <v/>
      </c>
    </row>
    <row r="352" spans="1:40" ht="15.6">
      <c r="A352" s="5"/>
      <c r="B352" s="5"/>
      <c r="E352" s="17"/>
      <c r="F352" s="17"/>
      <c r="G352" s="17"/>
      <c r="H352" s="17"/>
      <c r="I352" s="17"/>
      <c r="J352" s="17"/>
      <c r="K352" s="17"/>
      <c r="L352" s="32"/>
      <c r="M352" s="61"/>
      <c r="N352" s="23"/>
      <c r="O352" s="23"/>
      <c r="P352" s="9"/>
      <c r="Q352" s="9"/>
      <c r="R352" s="9"/>
      <c r="S352" s="9"/>
      <c r="U352" s="42" t="str">
        <f t="shared" si="45"/>
        <v>, L:, E:, S:, TS:</v>
      </c>
      <c r="V352" s="42" t="str">
        <f t="shared" si="46"/>
        <v/>
      </c>
      <c r="W352" s="43">
        <f>IFERROR(VLOOKUP(A352,Esiehdot!A$11:D$15,4,0), 0)</f>
        <v>0</v>
      </c>
      <c r="X352" s="44">
        <f>IF(Esiehdot!D$4&gt;=IFERROR(VLOOKUP(E352,Valintalistat!D$2:H$7,5,0), 99),1,0)</f>
        <v>0</v>
      </c>
      <c r="Y352" s="44">
        <f>IF(Esiehdot!D$5&gt;=IFERROR(VLOOKUP(F352,Valintalistat!E$2:H$5,4,0), 99),1,0)</f>
        <v>0</v>
      </c>
      <c r="Z352" s="44">
        <f>IF(Esiehdot!D$6&gt;=IFERROR(VLOOKUP(G352,Valintalistat!F$2:H$5,3,0),99),1,0)</f>
        <v>0</v>
      </c>
      <c r="AA352" s="44">
        <f>IF(Esiehdot!D$8&gt;=IFERROR(VLOOKUP(H352,Valintalistat!G$2:H$5,2,0),99),1,0)</f>
        <v>0</v>
      </c>
      <c r="AB352" s="43">
        <f t="shared" si="47"/>
        <v>0</v>
      </c>
      <c r="AC352" s="44">
        <f>IF(Esiehdot!E$4=IFERROR(VLOOKUP(E352,Valintalistat!D$2:H$7,5,0),99),1,0)</f>
        <v>0</v>
      </c>
      <c r="AD352" s="44">
        <f>IF(Esiehdot!E$5=IFERROR(VLOOKUP(F352,Valintalistat!E$2:H$5,4,0),99),1,0)</f>
        <v>0</v>
      </c>
      <c r="AE352" s="44">
        <f>IF(Esiehdot!E$6=IFERROR(VLOOKUP(G352,Valintalistat!F$2:H$5,3,0),99),1,0)</f>
        <v>0</v>
      </c>
      <c r="AF352" s="44">
        <f>IF(Esiehdot!E$8=IFERROR(VLOOKUP(H352,Valintalistat!G$2:H$3,2,0),98),1,0)</f>
        <v>0</v>
      </c>
      <c r="AG352" s="43">
        <f t="shared" si="48"/>
        <v>0</v>
      </c>
      <c r="AH352" s="43">
        <f>IFERROR(HLOOKUP(Esiehdot!$B$17,Käyttötapauskriteerit!G$1:P223,352,0),1)</f>
        <v>1</v>
      </c>
      <c r="AI352" s="43">
        <f t="shared" si="49"/>
        <v>0</v>
      </c>
      <c r="AJ352" s="43">
        <f t="shared" si="50"/>
        <v>0</v>
      </c>
      <c r="AK352" s="43">
        <f t="shared" si="51"/>
        <v>0</v>
      </c>
      <c r="AL352" s="43">
        <f t="shared" si="52"/>
        <v>0</v>
      </c>
      <c r="AM352" s="43"/>
      <c r="AN352" s="45" t="str">
        <f t="shared" si="53"/>
        <v/>
      </c>
    </row>
    <row r="353" spans="1:40" ht="15.6">
      <c r="A353" s="5"/>
      <c r="B353" s="5"/>
      <c r="E353" s="17"/>
      <c r="F353" s="17"/>
      <c r="G353" s="17"/>
      <c r="H353" s="17"/>
      <c r="I353" s="17"/>
      <c r="J353" s="17"/>
      <c r="K353" s="17"/>
      <c r="L353" s="32"/>
      <c r="M353" s="61"/>
      <c r="N353" s="23"/>
      <c r="O353" s="23"/>
      <c r="P353" s="9"/>
      <c r="Q353" s="9"/>
      <c r="R353" s="9"/>
      <c r="S353" s="9"/>
      <c r="U353" s="42" t="str">
        <f t="shared" si="45"/>
        <v>, L:, E:, S:, TS:</v>
      </c>
      <c r="V353" s="42" t="str">
        <f t="shared" si="46"/>
        <v/>
      </c>
      <c r="W353" s="43">
        <f>IFERROR(VLOOKUP(A353,Esiehdot!A$11:D$15,4,0), 0)</f>
        <v>0</v>
      </c>
      <c r="X353" s="44">
        <f>IF(Esiehdot!D$4&gt;=IFERROR(VLOOKUP(E353,Valintalistat!D$2:H$7,5,0), 99),1,0)</f>
        <v>0</v>
      </c>
      <c r="Y353" s="44">
        <f>IF(Esiehdot!D$5&gt;=IFERROR(VLOOKUP(F353,Valintalistat!E$2:H$5,4,0), 99),1,0)</f>
        <v>0</v>
      </c>
      <c r="Z353" s="44">
        <f>IF(Esiehdot!D$6&gt;=IFERROR(VLOOKUP(G353,Valintalistat!F$2:H$5,3,0),99),1,0)</f>
        <v>0</v>
      </c>
      <c r="AA353" s="44">
        <f>IF(Esiehdot!D$8&gt;=IFERROR(VLOOKUP(H353,Valintalistat!G$2:H$5,2,0),99),1,0)</f>
        <v>0</v>
      </c>
      <c r="AB353" s="43">
        <f t="shared" si="47"/>
        <v>0</v>
      </c>
      <c r="AC353" s="44">
        <f>IF(Esiehdot!E$4=IFERROR(VLOOKUP(E353,Valintalistat!D$2:H$7,5,0),99),1,0)</f>
        <v>0</v>
      </c>
      <c r="AD353" s="44">
        <f>IF(Esiehdot!E$5=IFERROR(VLOOKUP(F353,Valintalistat!E$2:H$5,4,0),99),1,0)</f>
        <v>0</v>
      </c>
      <c r="AE353" s="44">
        <f>IF(Esiehdot!E$6=IFERROR(VLOOKUP(G353,Valintalistat!F$2:H$5,3,0),99),1,0)</f>
        <v>0</v>
      </c>
      <c r="AF353" s="44">
        <f>IF(Esiehdot!E$8=IFERROR(VLOOKUP(H353,Valintalistat!G$2:H$3,2,0),98),1,0)</f>
        <v>0</v>
      </c>
      <c r="AG353" s="43">
        <f t="shared" si="48"/>
        <v>0</v>
      </c>
      <c r="AH353" s="43">
        <f>IFERROR(HLOOKUP(Esiehdot!$B$17,Käyttötapauskriteerit!G$1:P223,353,0),1)</f>
        <v>1</v>
      </c>
      <c r="AI353" s="43">
        <f t="shared" si="49"/>
        <v>0</v>
      </c>
      <c r="AJ353" s="43">
        <f t="shared" si="50"/>
        <v>0</v>
      </c>
      <c r="AK353" s="43">
        <f t="shared" si="51"/>
        <v>0</v>
      </c>
      <c r="AL353" s="43">
        <f t="shared" si="52"/>
        <v>0</v>
      </c>
      <c r="AM353" s="43"/>
      <c r="AN353" s="45" t="str">
        <f t="shared" si="53"/>
        <v/>
      </c>
    </row>
    <row r="354" spans="1:40" ht="15.6">
      <c r="A354" s="5"/>
      <c r="B354" s="5"/>
      <c r="E354" s="17"/>
      <c r="F354" s="17"/>
      <c r="G354" s="17"/>
      <c r="H354" s="17"/>
      <c r="I354" s="17"/>
      <c r="J354" s="17"/>
      <c r="K354" s="17"/>
      <c r="L354" s="32"/>
      <c r="M354" s="61"/>
      <c r="N354" s="23"/>
      <c r="O354" s="23"/>
      <c r="P354" s="9"/>
      <c r="Q354" s="9"/>
      <c r="R354" s="9"/>
      <c r="S354" s="9"/>
      <c r="U354" s="42" t="str">
        <f t="shared" si="45"/>
        <v>, L:, E:, S:, TS:</v>
      </c>
      <c r="V354" s="42" t="str">
        <f t="shared" si="46"/>
        <v/>
      </c>
      <c r="W354" s="43">
        <f>IFERROR(VLOOKUP(A354,Esiehdot!A$11:D$15,4,0), 0)</f>
        <v>0</v>
      </c>
      <c r="X354" s="44">
        <f>IF(Esiehdot!D$4&gt;=IFERROR(VLOOKUP(E354,Valintalistat!D$2:H$7,5,0), 99),1,0)</f>
        <v>0</v>
      </c>
      <c r="Y354" s="44">
        <f>IF(Esiehdot!D$5&gt;=IFERROR(VLOOKUP(F354,Valintalistat!E$2:H$5,4,0), 99),1,0)</f>
        <v>0</v>
      </c>
      <c r="Z354" s="44">
        <f>IF(Esiehdot!D$6&gt;=IFERROR(VLOOKUP(G354,Valintalistat!F$2:H$5,3,0),99),1,0)</f>
        <v>0</v>
      </c>
      <c r="AA354" s="44">
        <f>IF(Esiehdot!D$8&gt;=IFERROR(VLOOKUP(H354,Valintalistat!G$2:H$5,2,0),99),1,0)</f>
        <v>0</v>
      </c>
      <c r="AB354" s="43">
        <f t="shared" si="47"/>
        <v>0</v>
      </c>
      <c r="AC354" s="44">
        <f>IF(Esiehdot!E$4=IFERROR(VLOOKUP(E354,Valintalistat!D$2:H$7,5,0),99),1,0)</f>
        <v>0</v>
      </c>
      <c r="AD354" s="44">
        <f>IF(Esiehdot!E$5=IFERROR(VLOOKUP(F354,Valintalistat!E$2:H$5,4,0),99),1,0)</f>
        <v>0</v>
      </c>
      <c r="AE354" s="44">
        <f>IF(Esiehdot!E$6=IFERROR(VLOOKUP(G354,Valintalistat!F$2:H$5,3,0),99),1,0)</f>
        <v>0</v>
      </c>
      <c r="AF354" s="44">
        <f>IF(Esiehdot!E$8=IFERROR(VLOOKUP(H354,Valintalistat!G$2:H$3,2,0),98),1,0)</f>
        <v>0</v>
      </c>
      <c r="AG354" s="43">
        <f t="shared" si="48"/>
        <v>0</v>
      </c>
      <c r="AH354" s="43">
        <f>IFERROR(HLOOKUP(Esiehdot!$B$17,Käyttötapauskriteerit!G$1:P223,354,0),1)</f>
        <v>1</v>
      </c>
      <c r="AI354" s="43">
        <f t="shared" si="49"/>
        <v>0</v>
      </c>
      <c r="AJ354" s="43">
        <f t="shared" si="50"/>
        <v>0</v>
      </c>
      <c r="AK354" s="43">
        <f t="shared" si="51"/>
        <v>0</v>
      </c>
      <c r="AL354" s="43">
        <f t="shared" si="52"/>
        <v>0</v>
      </c>
      <c r="AM354" s="43"/>
      <c r="AN354" s="45" t="str">
        <f t="shared" si="53"/>
        <v/>
      </c>
    </row>
    <row r="355" spans="1:40" ht="15.6">
      <c r="A355" s="5"/>
      <c r="B355" s="5"/>
      <c r="E355" s="17"/>
      <c r="F355" s="17"/>
      <c r="G355" s="17"/>
      <c r="H355" s="17"/>
      <c r="I355" s="17"/>
      <c r="J355" s="17"/>
      <c r="K355" s="17"/>
      <c r="L355" s="32"/>
      <c r="M355" s="61"/>
      <c r="N355" s="23"/>
      <c r="O355" s="23"/>
      <c r="P355" s="9"/>
      <c r="Q355" s="9"/>
      <c r="R355" s="9"/>
      <c r="S355" s="9"/>
      <c r="U355" s="42" t="str">
        <f t="shared" si="45"/>
        <v>, L:, E:, S:, TS:</v>
      </c>
      <c r="V355" s="42" t="str">
        <f t="shared" si="46"/>
        <v/>
      </c>
      <c r="W355" s="43">
        <f>IFERROR(VLOOKUP(A355,Esiehdot!A$11:D$15,4,0), 0)</f>
        <v>0</v>
      </c>
      <c r="X355" s="44">
        <f>IF(Esiehdot!D$4&gt;=IFERROR(VLOOKUP(E355,Valintalistat!D$2:H$7,5,0), 99),1,0)</f>
        <v>0</v>
      </c>
      <c r="Y355" s="44">
        <f>IF(Esiehdot!D$5&gt;=IFERROR(VLOOKUP(F355,Valintalistat!E$2:H$5,4,0), 99),1,0)</f>
        <v>0</v>
      </c>
      <c r="Z355" s="44">
        <f>IF(Esiehdot!D$6&gt;=IFERROR(VLOOKUP(G355,Valintalistat!F$2:H$5,3,0),99),1,0)</f>
        <v>0</v>
      </c>
      <c r="AA355" s="44">
        <f>IF(Esiehdot!D$8&gt;=IFERROR(VLOOKUP(H355,Valintalistat!G$2:H$5,2,0),99),1,0)</f>
        <v>0</v>
      </c>
      <c r="AB355" s="43">
        <f t="shared" si="47"/>
        <v>0</v>
      </c>
      <c r="AC355" s="44">
        <f>IF(Esiehdot!E$4=IFERROR(VLOOKUP(E355,Valintalistat!D$2:H$7,5,0),99),1,0)</f>
        <v>0</v>
      </c>
      <c r="AD355" s="44">
        <f>IF(Esiehdot!E$5=IFERROR(VLOOKUP(F355,Valintalistat!E$2:H$5,4,0),99),1,0)</f>
        <v>0</v>
      </c>
      <c r="AE355" s="44">
        <f>IF(Esiehdot!E$6=IFERROR(VLOOKUP(G355,Valintalistat!F$2:H$5,3,0),99),1,0)</f>
        <v>0</v>
      </c>
      <c r="AF355" s="44">
        <f>IF(Esiehdot!E$8=IFERROR(VLOOKUP(H355,Valintalistat!G$2:H$3,2,0),98),1,0)</f>
        <v>0</v>
      </c>
      <c r="AG355" s="43">
        <f t="shared" si="48"/>
        <v>0</v>
      </c>
      <c r="AH355" s="43">
        <f>IFERROR(HLOOKUP(Esiehdot!$B$17,Käyttötapauskriteerit!G$1:P223,355,0),1)</f>
        <v>1</v>
      </c>
      <c r="AI355" s="43">
        <f t="shared" si="49"/>
        <v>0</v>
      </c>
      <c r="AJ355" s="43">
        <f t="shared" si="50"/>
        <v>0</v>
      </c>
      <c r="AK355" s="43">
        <f t="shared" si="51"/>
        <v>0</v>
      </c>
      <c r="AL355" s="43">
        <f t="shared" si="52"/>
        <v>0</v>
      </c>
      <c r="AM355" s="43"/>
      <c r="AN355" s="45" t="str">
        <f t="shared" si="53"/>
        <v/>
      </c>
    </row>
    <row r="356" spans="1:40" ht="15.6">
      <c r="A356" s="5"/>
      <c r="B356" s="5"/>
      <c r="E356" s="17"/>
      <c r="F356" s="17"/>
      <c r="G356" s="17"/>
      <c r="H356" s="17"/>
      <c r="I356" s="17"/>
      <c r="J356" s="17"/>
      <c r="K356" s="17"/>
      <c r="L356" s="32"/>
      <c r="M356" s="61"/>
      <c r="N356" s="23"/>
      <c r="O356" s="23"/>
      <c r="P356" s="9"/>
      <c r="Q356" s="9"/>
      <c r="R356" s="9"/>
      <c r="S356" s="9"/>
      <c r="U356" s="42" t="str">
        <f t="shared" si="45"/>
        <v>, L:, E:, S:, TS:</v>
      </c>
      <c r="V356" s="42" t="str">
        <f t="shared" si="46"/>
        <v/>
      </c>
      <c r="W356" s="43">
        <f>IFERROR(VLOOKUP(A356,Esiehdot!A$11:D$15,4,0), 0)</f>
        <v>0</v>
      </c>
      <c r="X356" s="44">
        <f>IF(Esiehdot!D$4&gt;=IFERROR(VLOOKUP(E356,Valintalistat!D$2:H$7,5,0), 99),1,0)</f>
        <v>0</v>
      </c>
      <c r="Y356" s="44">
        <f>IF(Esiehdot!D$5&gt;=IFERROR(VLOOKUP(F356,Valintalistat!E$2:H$5,4,0), 99),1,0)</f>
        <v>0</v>
      </c>
      <c r="Z356" s="44">
        <f>IF(Esiehdot!D$6&gt;=IFERROR(VLOOKUP(G356,Valintalistat!F$2:H$5,3,0),99),1,0)</f>
        <v>0</v>
      </c>
      <c r="AA356" s="44">
        <f>IF(Esiehdot!D$8&gt;=IFERROR(VLOOKUP(H356,Valintalistat!G$2:H$5,2,0),99),1,0)</f>
        <v>0</v>
      </c>
      <c r="AB356" s="43">
        <f t="shared" si="47"/>
        <v>0</v>
      </c>
      <c r="AC356" s="44">
        <f>IF(Esiehdot!E$4=IFERROR(VLOOKUP(E356,Valintalistat!D$2:H$7,5,0),99),1,0)</f>
        <v>0</v>
      </c>
      <c r="AD356" s="44">
        <f>IF(Esiehdot!E$5=IFERROR(VLOOKUP(F356,Valintalistat!E$2:H$5,4,0),99),1,0)</f>
        <v>0</v>
      </c>
      <c r="AE356" s="44">
        <f>IF(Esiehdot!E$6=IFERROR(VLOOKUP(G356,Valintalistat!F$2:H$5,3,0),99),1,0)</f>
        <v>0</v>
      </c>
      <c r="AF356" s="44">
        <f>IF(Esiehdot!E$8=IFERROR(VLOOKUP(H356,Valintalistat!G$2:H$3,2,0),98),1,0)</f>
        <v>0</v>
      </c>
      <c r="AG356" s="43">
        <f t="shared" si="48"/>
        <v>0</v>
      </c>
      <c r="AH356" s="43">
        <f>IFERROR(HLOOKUP(Esiehdot!$B$17,Käyttötapauskriteerit!G$1:P223,356,0),1)</f>
        <v>1</v>
      </c>
      <c r="AI356" s="43">
        <f t="shared" si="49"/>
        <v>0</v>
      </c>
      <c r="AJ356" s="43">
        <f t="shared" si="50"/>
        <v>0</v>
      </c>
      <c r="AK356" s="43">
        <f t="shared" si="51"/>
        <v>0</v>
      </c>
      <c r="AL356" s="43">
        <f t="shared" si="52"/>
        <v>0</v>
      </c>
      <c r="AM356" s="43"/>
      <c r="AN356" s="45" t="str">
        <f t="shared" si="53"/>
        <v/>
      </c>
    </row>
    <row r="357" spans="1:40" ht="15.6">
      <c r="A357" s="5"/>
      <c r="B357" s="5"/>
      <c r="E357" s="17"/>
      <c r="F357" s="17"/>
      <c r="G357" s="17"/>
      <c r="H357" s="17"/>
      <c r="I357" s="17"/>
      <c r="J357" s="17"/>
      <c r="K357" s="17"/>
      <c r="L357" s="32"/>
      <c r="M357" s="61"/>
      <c r="N357" s="23"/>
      <c r="O357" s="23"/>
      <c r="P357" s="9"/>
      <c r="Q357" s="9"/>
      <c r="R357" s="9"/>
      <c r="S357" s="9"/>
      <c r="U357" s="42" t="str">
        <f t="shared" si="45"/>
        <v>, L:, E:, S:, TS:</v>
      </c>
      <c r="V357" s="42" t="str">
        <f t="shared" si="46"/>
        <v/>
      </c>
      <c r="W357" s="43">
        <f>IFERROR(VLOOKUP(A357,Esiehdot!A$11:D$15,4,0), 0)</f>
        <v>0</v>
      </c>
      <c r="X357" s="44">
        <f>IF(Esiehdot!D$4&gt;=IFERROR(VLOOKUP(E357,Valintalistat!D$2:H$7,5,0), 99),1,0)</f>
        <v>0</v>
      </c>
      <c r="Y357" s="44">
        <f>IF(Esiehdot!D$5&gt;=IFERROR(VLOOKUP(F357,Valintalistat!E$2:H$5,4,0), 99),1,0)</f>
        <v>0</v>
      </c>
      <c r="Z357" s="44">
        <f>IF(Esiehdot!D$6&gt;=IFERROR(VLOOKUP(G357,Valintalistat!F$2:H$5,3,0),99),1,0)</f>
        <v>0</v>
      </c>
      <c r="AA357" s="44">
        <f>IF(Esiehdot!D$8&gt;=IFERROR(VLOOKUP(H357,Valintalistat!G$2:H$5,2,0),99),1,0)</f>
        <v>0</v>
      </c>
      <c r="AB357" s="43">
        <f t="shared" si="47"/>
        <v>0</v>
      </c>
      <c r="AC357" s="44">
        <f>IF(Esiehdot!E$4=IFERROR(VLOOKUP(E357,Valintalistat!D$2:H$7,5,0),99),1,0)</f>
        <v>0</v>
      </c>
      <c r="AD357" s="44">
        <f>IF(Esiehdot!E$5=IFERROR(VLOOKUP(F357,Valintalistat!E$2:H$5,4,0),99),1,0)</f>
        <v>0</v>
      </c>
      <c r="AE357" s="44">
        <f>IF(Esiehdot!E$6=IFERROR(VLOOKUP(G357,Valintalistat!F$2:H$5,3,0),99),1,0)</f>
        <v>0</v>
      </c>
      <c r="AF357" s="44">
        <f>IF(Esiehdot!E$8=IFERROR(VLOOKUP(H357,Valintalistat!G$2:H$3,2,0),98),1,0)</f>
        <v>0</v>
      </c>
      <c r="AG357" s="43">
        <f t="shared" si="48"/>
        <v>0</v>
      </c>
      <c r="AH357" s="43">
        <f>IFERROR(HLOOKUP(Esiehdot!$B$17,Käyttötapauskriteerit!G$1:P223,357,0),1)</f>
        <v>1</v>
      </c>
      <c r="AI357" s="43">
        <f t="shared" si="49"/>
        <v>0</v>
      </c>
      <c r="AJ357" s="43">
        <f t="shared" si="50"/>
        <v>0</v>
      </c>
      <c r="AK357" s="43">
        <f t="shared" si="51"/>
        <v>0</v>
      </c>
      <c r="AL357" s="43">
        <f t="shared" si="52"/>
        <v>0</v>
      </c>
      <c r="AM357" s="43"/>
      <c r="AN357" s="45" t="str">
        <f t="shared" si="53"/>
        <v/>
      </c>
    </row>
    <row r="358" spans="1:40" ht="15.6">
      <c r="A358" s="5"/>
      <c r="B358" s="5"/>
      <c r="E358" s="17"/>
      <c r="F358" s="17"/>
      <c r="G358" s="17"/>
      <c r="H358" s="17"/>
      <c r="I358" s="17"/>
      <c r="J358" s="17"/>
      <c r="K358" s="17"/>
      <c r="L358" s="32"/>
      <c r="M358" s="61"/>
      <c r="N358" s="23"/>
      <c r="O358" s="23"/>
      <c r="P358" s="9"/>
      <c r="Q358" s="9"/>
      <c r="R358" s="9"/>
      <c r="S358" s="9"/>
      <c r="U358" s="42" t="str">
        <f t="shared" si="45"/>
        <v>, L:, E:, S:, TS:</v>
      </c>
      <c r="V358" s="42" t="str">
        <f t="shared" si="46"/>
        <v/>
      </c>
      <c r="W358" s="43">
        <f>IFERROR(VLOOKUP(A358,Esiehdot!A$11:D$15,4,0), 0)</f>
        <v>0</v>
      </c>
      <c r="X358" s="44">
        <f>IF(Esiehdot!D$4&gt;=IFERROR(VLOOKUP(E358,Valintalistat!D$2:H$7,5,0), 99),1,0)</f>
        <v>0</v>
      </c>
      <c r="Y358" s="44">
        <f>IF(Esiehdot!D$5&gt;=IFERROR(VLOOKUP(F358,Valintalistat!E$2:H$5,4,0), 99),1,0)</f>
        <v>0</v>
      </c>
      <c r="Z358" s="44">
        <f>IF(Esiehdot!D$6&gt;=IFERROR(VLOOKUP(G358,Valintalistat!F$2:H$5,3,0),99),1,0)</f>
        <v>0</v>
      </c>
      <c r="AA358" s="44">
        <f>IF(Esiehdot!D$8&gt;=IFERROR(VLOOKUP(H358,Valintalistat!G$2:H$5,2,0),99),1,0)</f>
        <v>0</v>
      </c>
      <c r="AB358" s="43">
        <f t="shared" si="47"/>
        <v>0</v>
      </c>
      <c r="AC358" s="44">
        <f>IF(Esiehdot!E$4=IFERROR(VLOOKUP(E358,Valintalistat!D$2:H$7,5,0),99),1,0)</f>
        <v>0</v>
      </c>
      <c r="AD358" s="44">
        <f>IF(Esiehdot!E$5=IFERROR(VLOOKUP(F358,Valintalistat!E$2:H$5,4,0),99),1,0)</f>
        <v>0</v>
      </c>
      <c r="AE358" s="44">
        <f>IF(Esiehdot!E$6=IFERROR(VLOOKUP(G358,Valintalistat!F$2:H$5,3,0),99),1,0)</f>
        <v>0</v>
      </c>
      <c r="AF358" s="44">
        <f>IF(Esiehdot!E$8=IFERROR(VLOOKUP(H358,Valintalistat!G$2:H$3,2,0),98),1,0)</f>
        <v>0</v>
      </c>
      <c r="AG358" s="43">
        <f t="shared" si="48"/>
        <v>0</v>
      </c>
      <c r="AH358" s="43">
        <f>IFERROR(HLOOKUP(Esiehdot!$B$17,Käyttötapauskriteerit!G$1:P223,358,0),1)</f>
        <v>1</v>
      </c>
      <c r="AI358" s="43">
        <f t="shared" si="49"/>
        <v>0</v>
      </c>
      <c r="AJ358" s="43">
        <f t="shared" si="50"/>
        <v>0</v>
      </c>
      <c r="AK358" s="43">
        <f t="shared" si="51"/>
        <v>0</v>
      </c>
      <c r="AL358" s="43">
        <f t="shared" si="52"/>
        <v>0</v>
      </c>
      <c r="AM358" s="43"/>
      <c r="AN358" s="45" t="str">
        <f t="shared" si="53"/>
        <v/>
      </c>
    </row>
    <row r="359" spans="1:40" ht="15.6">
      <c r="A359" s="5"/>
      <c r="B359" s="5"/>
      <c r="E359" s="17"/>
      <c r="F359" s="17"/>
      <c r="G359" s="17"/>
      <c r="H359" s="17"/>
      <c r="I359" s="17"/>
      <c r="J359" s="17"/>
      <c r="K359" s="17"/>
      <c r="L359" s="32"/>
      <c r="M359" s="61"/>
      <c r="N359" s="23"/>
      <c r="O359" s="23"/>
      <c r="P359" s="9"/>
      <c r="Q359" s="9"/>
      <c r="R359" s="9"/>
      <c r="S359" s="9"/>
      <c r="U359" s="42" t="str">
        <f t="shared" si="45"/>
        <v>, L:, E:, S:, TS:</v>
      </c>
      <c r="V359" s="42" t="str">
        <f t="shared" si="46"/>
        <v/>
      </c>
      <c r="W359" s="43">
        <f>IFERROR(VLOOKUP(A359,Esiehdot!A$11:D$15,4,0), 0)</f>
        <v>0</v>
      </c>
      <c r="X359" s="44">
        <f>IF(Esiehdot!D$4&gt;=IFERROR(VLOOKUP(E359,Valintalistat!D$2:H$7,5,0), 99),1,0)</f>
        <v>0</v>
      </c>
      <c r="Y359" s="44">
        <f>IF(Esiehdot!D$5&gt;=IFERROR(VLOOKUP(F359,Valintalistat!E$2:H$5,4,0), 99),1,0)</f>
        <v>0</v>
      </c>
      <c r="Z359" s="44">
        <f>IF(Esiehdot!D$6&gt;=IFERROR(VLOOKUP(G359,Valintalistat!F$2:H$5,3,0),99),1,0)</f>
        <v>0</v>
      </c>
      <c r="AA359" s="44">
        <f>IF(Esiehdot!D$8&gt;=IFERROR(VLOOKUP(H359,Valintalistat!G$2:H$5,2,0),99),1,0)</f>
        <v>0</v>
      </c>
      <c r="AB359" s="43">
        <f t="shared" si="47"/>
        <v>0</v>
      </c>
      <c r="AC359" s="44">
        <f>IF(Esiehdot!E$4=IFERROR(VLOOKUP(E359,Valintalistat!D$2:H$7,5,0),99),1,0)</f>
        <v>0</v>
      </c>
      <c r="AD359" s="44">
        <f>IF(Esiehdot!E$5=IFERROR(VLOOKUP(F359,Valintalistat!E$2:H$5,4,0),99),1,0)</f>
        <v>0</v>
      </c>
      <c r="AE359" s="44">
        <f>IF(Esiehdot!E$6=IFERROR(VLOOKUP(G359,Valintalistat!F$2:H$5,3,0),99),1,0)</f>
        <v>0</v>
      </c>
      <c r="AF359" s="44">
        <f>IF(Esiehdot!E$8=IFERROR(VLOOKUP(H359,Valintalistat!G$2:H$3,2,0),98),1,0)</f>
        <v>0</v>
      </c>
      <c r="AG359" s="43">
        <f t="shared" si="48"/>
        <v>0</v>
      </c>
      <c r="AH359" s="43">
        <f>IFERROR(HLOOKUP(Esiehdot!$B$17,Käyttötapauskriteerit!G$1:P223,359,0),1)</f>
        <v>1</v>
      </c>
      <c r="AI359" s="43">
        <f t="shared" si="49"/>
        <v>0</v>
      </c>
      <c r="AJ359" s="43">
        <f t="shared" si="50"/>
        <v>0</v>
      </c>
      <c r="AK359" s="43">
        <f t="shared" si="51"/>
        <v>0</v>
      </c>
      <c r="AL359" s="43">
        <f t="shared" si="52"/>
        <v>0</v>
      </c>
      <c r="AM359" s="43"/>
      <c r="AN359" s="45" t="str">
        <f t="shared" si="53"/>
        <v/>
      </c>
    </row>
    <row r="360" spans="1:40" ht="15.6">
      <c r="A360" s="5"/>
      <c r="B360" s="5"/>
      <c r="E360" s="17"/>
      <c r="F360" s="17"/>
      <c r="G360" s="17"/>
      <c r="H360" s="17"/>
      <c r="I360" s="17"/>
      <c r="J360" s="17"/>
      <c r="K360" s="17"/>
      <c r="L360" s="32"/>
      <c r="M360" s="61"/>
      <c r="N360" s="23"/>
      <c r="O360" s="23"/>
      <c r="P360" s="9"/>
      <c r="Q360" s="9"/>
      <c r="R360" s="9"/>
      <c r="S360" s="9"/>
      <c r="U360" s="42" t="str">
        <f t="shared" si="45"/>
        <v>, L:, E:, S:, TS:</v>
      </c>
      <c r="V360" s="42" t="str">
        <f t="shared" si="46"/>
        <v/>
      </c>
      <c r="W360" s="43">
        <f>IFERROR(VLOOKUP(A360,Esiehdot!A$11:D$15,4,0), 0)</f>
        <v>0</v>
      </c>
      <c r="X360" s="44">
        <f>IF(Esiehdot!D$4&gt;=IFERROR(VLOOKUP(E360,Valintalistat!D$2:H$7,5,0), 99),1,0)</f>
        <v>0</v>
      </c>
      <c r="Y360" s="44">
        <f>IF(Esiehdot!D$5&gt;=IFERROR(VLOOKUP(F360,Valintalistat!E$2:H$5,4,0), 99),1,0)</f>
        <v>0</v>
      </c>
      <c r="Z360" s="44">
        <f>IF(Esiehdot!D$6&gt;=IFERROR(VLOOKUP(G360,Valintalistat!F$2:H$5,3,0),99),1,0)</f>
        <v>0</v>
      </c>
      <c r="AA360" s="44">
        <f>IF(Esiehdot!D$8&gt;=IFERROR(VLOOKUP(H360,Valintalistat!G$2:H$5,2,0),99),1,0)</f>
        <v>0</v>
      </c>
      <c r="AB360" s="43">
        <f t="shared" si="47"/>
        <v>0</v>
      </c>
      <c r="AC360" s="44">
        <f>IF(Esiehdot!E$4=IFERROR(VLOOKUP(E360,Valintalistat!D$2:H$7,5,0),99),1,0)</f>
        <v>0</v>
      </c>
      <c r="AD360" s="44">
        <f>IF(Esiehdot!E$5=IFERROR(VLOOKUP(F360,Valintalistat!E$2:H$5,4,0),99),1,0)</f>
        <v>0</v>
      </c>
      <c r="AE360" s="44">
        <f>IF(Esiehdot!E$6=IFERROR(VLOOKUP(G360,Valintalistat!F$2:H$5,3,0),99),1,0)</f>
        <v>0</v>
      </c>
      <c r="AF360" s="44">
        <f>IF(Esiehdot!E$8=IFERROR(VLOOKUP(H360,Valintalistat!G$2:H$3,2,0),98),1,0)</f>
        <v>0</v>
      </c>
      <c r="AG360" s="43">
        <f t="shared" si="48"/>
        <v>0</v>
      </c>
      <c r="AH360" s="43">
        <f>IFERROR(HLOOKUP(Esiehdot!$B$17,Käyttötapauskriteerit!G$1:P223,360,0),1)</f>
        <v>1</v>
      </c>
      <c r="AI360" s="43">
        <f t="shared" si="49"/>
        <v>0</v>
      </c>
      <c r="AJ360" s="43">
        <f t="shared" si="50"/>
        <v>0</v>
      </c>
      <c r="AK360" s="43">
        <f t="shared" si="51"/>
        <v>0</v>
      </c>
      <c r="AL360" s="43">
        <f t="shared" si="52"/>
        <v>0</v>
      </c>
      <c r="AM360" s="43"/>
      <c r="AN360" s="45" t="str">
        <f t="shared" si="53"/>
        <v/>
      </c>
    </row>
    <row r="361" spans="1:40" ht="15.6">
      <c r="A361" s="5"/>
      <c r="B361" s="5"/>
      <c r="E361" s="17"/>
      <c r="F361" s="17"/>
      <c r="G361" s="17"/>
      <c r="H361" s="17"/>
      <c r="I361" s="17"/>
      <c r="J361" s="17"/>
      <c r="K361" s="17"/>
      <c r="L361" s="32"/>
      <c r="M361" s="61"/>
      <c r="N361" s="23"/>
      <c r="O361" s="23"/>
      <c r="P361" s="9"/>
      <c r="Q361" s="9"/>
      <c r="R361" s="9"/>
      <c r="S361" s="9"/>
      <c r="U361" s="42" t="str">
        <f t="shared" si="45"/>
        <v>, L:, E:, S:, TS:</v>
      </c>
      <c r="V361" s="42" t="str">
        <f t="shared" si="46"/>
        <v/>
      </c>
      <c r="W361" s="43">
        <f>IFERROR(VLOOKUP(A361,Esiehdot!A$11:D$15,4,0), 0)</f>
        <v>0</v>
      </c>
      <c r="X361" s="44">
        <f>IF(Esiehdot!D$4&gt;=IFERROR(VLOOKUP(E361,Valintalistat!D$2:H$7,5,0), 99),1,0)</f>
        <v>0</v>
      </c>
      <c r="Y361" s="44">
        <f>IF(Esiehdot!D$5&gt;=IFERROR(VLOOKUP(F361,Valintalistat!E$2:H$5,4,0), 99),1,0)</f>
        <v>0</v>
      </c>
      <c r="Z361" s="44">
        <f>IF(Esiehdot!D$6&gt;=IFERROR(VLOOKUP(G361,Valintalistat!F$2:H$5,3,0),99),1,0)</f>
        <v>0</v>
      </c>
      <c r="AA361" s="44">
        <f>IF(Esiehdot!D$8&gt;=IFERROR(VLOOKUP(H361,Valintalistat!G$2:H$5,2,0),99),1,0)</f>
        <v>0</v>
      </c>
      <c r="AB361" s="43">
        <f t="shared" si="47"/>
        <v>0</v>
      </c>
      <c r="AC361" s="44">
        <f>IF(Esiehdot!E$4=IFERROR(VLOOKUP(E361,Valintalistat!D$2:H$7,5,0),99),1,0)</f>
        <v>0</v>
      </c>
      <c r="AD361" s="44">
        <f>IF(Esiehdot!E$5=IFERROR(VLOOKUP(F361,Valintalistat!E$2:H$5,4,0),99),1,0)</f>
        <v>0</v>
      </c>
      <c r="AE361" s="44">
        <f>IF(Esiehdot!E$6=IFERROR(VLOOKUP(G361,Valintalistat!F$2:H$5,3,0),99),1,0)</f>
        <v>0</v>
      </c>
      <c r="AF361" s="44">
        <f>IF(Esiehdot!E$8=IFERROR(VLOOKUP(H361,Valintalistat!G$2:H$3,2,0),98),1,0)</f>
        <v>0</v>
      </c>
      <c r="AG361" s="43">
        <f t="shared" si="48"/>
        <v>0</v>
      </c>
      <c r="AH361" s="43">
        <f>IFERROR(HLOOKUP(Esiehdot!$B$17,Käyttötapauskriteerit!G$1:P223,361,0),1)</f>
        <v>1</v>
      </c>
      <c r="AI361" s="43">
        <f t="shared" si="49"/>
        <v>0</v>
      </c>
      <c r="AJ361" s="43">
        <f t="shared" si="50"/>
        <v>0</v>
      </c>
      <c r="AK361" s="43">
        <f t="shared" si="51"/>
        <v>0</v>
      </c>
      <c r="AL361" s="43">
        <f t="shared" si="52"/>
        <v>0</v>
      </c>
      <c r="AM361" s="43"/>
      <c r="AN361" s="45" t="str">
        <f t="shared" si="53"/>
        <v/>
      </c>
    </row>
    <row r="362" spans="1:40" ht="15.6">
      <c r="A362" s="5"/>
      <c r="B362" s="5"/>
      <c r="E362" s="17"/>
      <c r="F362" s="17"/>
      <c r="G362" s="17"/>
      <c r="H362" s="17"/>
      <c r="I362" s="17"/>
      <c r="J362" s="17"/>
      <c r="K362" s="17"/>
      <c r="L362" s="32"/>
      <c r="M362" s="61"/>
      <c r="N362" s="23"/>
      <c r="O362" s="23"/>
      <c r="P362" s="9"/>
      <c r="Q362" s="9"/>
      <c r="R362" s="9"/>
      <c r="S362" s="9"/>
      <c r="U362" s="42" t="str">
        <f t="shared" si="45"/>
        <v>, L:, E:, S:, TS:</v>
      </c>
      <c r="V362" s="42" t="str">
        <f t="shared" si="46"/>
        <v/>
      </c>
      <c r="W362" s="43">
        <f>IFERROR(VLOOKUP(A362,Esiehdot!A$11:D$15,4,0), 0)</f>
        <v>0</v>
      </c>
      <c r="X362" s="44">
        <f>IF(Esiehdot!D$4&gt;=IFERROR(VLOOKUP(E362,Valintalistat!D$2:H$7,5,0), 99),1,0)</f>
        <v>0</v>
      </c>
      <c r="Y362" s="44">
        <f>IF(Esiehdot!D$5&gt;=IFERROR(VLOOKUP(F362,Valintalistat!E$2:H$5,4,0), 99),1,0)</f>
        <v>0</v>
      </c>
      <c r="Z362" s="44">
        <f>IF(Esiehdot!D$6&gt;=IFERROR(VLOOKUP(G362,Valintalistat!F$2:H$5,3,0),99),1,0)</f>
        <v>0</v>
      </c>
      <c r="AA362" s="44">
        <f>IF(Esiehdot!D$8&gt;=IFERROR(VLOOKUP(H362,Valintalistat!G$2:H$5,2,0),99),1,0)</f>
        <v>0</v>
      </c>
      <c r="AB362" s="43">
        <f t="shared" si="47"/>
        <v>0</v>
      </c>
      <c r="AC362" s="44">
        <f>IF(Esiehdot!E$4=IFERROR(VLOOKUP(E362,Valintalistat!D$2:H$7,5,0),99),1,0)</f>
        <v>0</v>
      </c>
      <c r="AD362" s="44">
        <f>IF(Esiehdot!E$5=IFERROR(VLOOKUP(F362,Valintalistat!E$2:H$5,4,0),99),1,0)</f>
        <v>0</v>
      </c>
      <c r="AE362" s="44">
        <f>IF(Esiehdot!E$6=IFERROR(VLOOKUP(G362,Valintalistat!F$2:H$5,3,0),99),1,0)</f>
        <v>0</v>
      </c>
      <c r="AF362" s="44">
        <f>IF(Esiehdot!E$8=IFERROR(VLOOKUP(H362,Valintalistat!G$2:H$3,2,0),98),1,0)</f>
        <v>0</v>
      </c>
      <c r="AG362" s="43">
        <f t="shared" si="48"/>
        <v>0</v>
      </c>
      <c r="AH362" s="43">
        <f>IFERROR(HLOOKUP(Esiehdot!$B$17,Käyttötapauskriteerit!G$1:P223,362,0),1)</f>
        <v>1</v>
      </c>
      <c r="AI362" s="43">
        <f t="shared" si="49"/>
        <v>0</v>
      </c>
      <c r="AJ362" s="43">
        <f t="shared" si="50"/>
        <v>0</v>
      </c>
      <c r="AK362" s="43">
        <f t="shared" si="51"/>
        <v>0</v>
      </c>
      <c r="AL362" s="43">
        <f t="shared" si="52"/>
        <v>0</v>
      </c>
      <c r="AM362" s="43"/>
      <c r="AN362" s="45" t="str">
        <f t="shared" si="53"/>
        <v/>
      </c>
    </row>
    <row r="363" spans="1:40" ht="15.6">
      <c r="A363" s="5"/>
      <c r="B363" s="5"/>
      <c r="E363" s="17"/>
      <c r="F363" s="17"/>
      <c r="G363" s="17"/>
      <c r="H363" s="17"/>
      <c r="I363" s="17"/>
      <c r="J363" s="17"/>
      <c r="K363" s="17"/>
      <c r="L363" s="32"/>
      <c r="M363" s="61"/>
      <c r="N363" s="23"/>
      <c r="O363" s="23"/>
      <c r="P363" s="9"/>
      <c r="Q363" s="9"/>
      <c r="R363" s="9"/>
      <c r="S363" s="9"/>
      <c r="U363" s="42" t="str">
        <f t="shared" si="45"/>
        <v>, L:, E:, S:, TS:</v>
      </c>
      <c r="V363" s="42" t="str">
        <f t="shared" si="46"/>
        <v/>
      </c>
      <c r="W363" s="43">
        <f>IFERROR(VLOOKUP(A363,Esiehdot!A$11:D$15,4,0), 0)</f>
        <v>0</v>
      </c>
      <c r="X363" s="44">
        <f>IF(Esiehdot!D$4&gt;=IFERROR(VLOOKUP(E363,Valintalistat!D$2:H$7,5,0), 99),1,0)</f>
        <v>0</v>
      </c>
      <c r="Y363" s="44">
        <f>IF(Esiehdot!D$5&gt;=IFERROR(VLOOKUP(F363,Valintalistat!E$2:H$5,4,0), 99),1,0)</f>
        <v>0</v>
      </c>
      <c r="Z363" s="44">
        <f>IF(Esiehdot!D$6&gt;=IFERROR(VLOOKUP(G363,Valintalistat!F$2:H$5,3,0),99),1,0)</f>
        <v>0</v>
      </c>
      <c r="AA363" s="44">
        <f>IF(Esiehdot!D$8&gt;=IFERROR(VLOOKUP(H363,Valintalistat!G$2:H$5,2,0),99),1,0)</f>
        <v>0</v>
      </c>
      <c r="AB363" s="43">
        <f t="shared" si="47"/>
        <v>0</v>
      </c>
      <c r="AC363" s="44">
        <f>IF(Esiehdot!E$4=IFERROR(VLOOKUP(E363,Valintalistat!D$2:H$7,5,0),99),1,0)</f>
        <v>0</v>
      </c>
      <c r="AD363" s="44">
        <f>IF(Esiehdot!E$5=IFERROR(VLOOKUP(F363,Valintalistat!E$2:H$5,4,0),99),1,0)</f>
        <v>0</v>
      </c>
      <c r="AE363" s="44">
        <f>IF(Esiehdot!E$6=IFERROR(VLOOKUP(G363,Valintalistat!F$2:H$5,3,0),99),1,0)</f>
        <v>0</v>
      </c>
      <c r="AF363" s="44">
        <f>IF(Esiehdot!E$8=IFERROR(VLOOKUP(H363,Valintalistat!G$2:H$3,2,0),98),1,0)</f>
        <v>0</v>
      </c>
      <c r="AG363" s="43">
        <f t="shared" si="48"/>
        <v>0</v>
      </c>
      <c r="AH363" s="43">
        <f>IFERROR(HLOOKUP(Esiehdot!$B$17,Käyttötapauskriteerit!G$1:P223,363,0),1)</f>
        <v>1</v>
      </c>
      <c r="AI363" s="43">
        <f t="shared" si="49"/>
        <v>0</v>
      </c>
      <c r="AJ363" s="43">
        <f t="shared" si="50"/>
        <v>0</v>
      </c>
      <c r="AK363" s="43">
        <f t="shared" si="51"/>
        <v>0</v>
      </c>
      <c r="AL363" s="43">
        <f t="shared" si="52"/>
        <v>0</v>
      </c>
      <c r="AM363" s="43"/>
      <c r="AN363" s="45" t="str">
        <f t="shared" si="53"/>
        <v/>
      </c>
    </row>
    <row r="364" spans="1:40" ht="15.6">
      <c r="A364" s="5"/>
      <c r="B364" s="5"/>
      <c r="E364" s="17"/>
      <c r="F364" s="17"/>
      <c r="G364" s="17"/>
      <c r="H364" s="17"/>
      <c r="I364" s="17"/>
      <c r="J364" s="17"/>
      <c r="K364" s="17"/>
      <c r="L364" s="32"/>
      <c r="M364" s="61"/>
      <c r="N364" s="23"/>
      <c r="O364" s="23"/>
      <c r="P364" s="9"/>
      <c r="Q364" s="9"/>
      <c r="R364" s="9"/>
      <c r="S364" s="9"/>
      <c r="U364" s="42" t="str">
        <f t="shared" si="45"/>
        <v>, L:, E:, S:, TS:</v>
      </c>
      <c r="V364" s="42" t="str">
        <f t="shared" si="46"/>
        <v/>
      </c>
      <c r="W364" s="43">
        <f>IFERROR(VLOOKUP(A364,Esiehdot!A$11:D$15,4,0), 0)</f>
        <v>0</v>
      </c>
      <c r="X364" s="44">
        <f>IF(Esiehdot!D$4&gt;=IFERROR(VLOOKUP(E364,Valintalistat!D$2:H$7,5,0), 99),1,0)</f>
        <v>0</v>
      </c>
      <c r="Y364" s="44">
        <f>IF(Esiehdot!D$5&gt;=IFERROR(VLOOKUP(F364,Valintalistat!E$2:H$5,4,0), 99),1,0)</f>
        <v>0</v>
      </c>
      <c r="Z364" s="44">
        <f>IF(Esiehdot!D$6&gt;=IFERROR(VLOOKUP(G364,Valintalistat!F$2:H$5,3,0),99),1,0)</f>
        <v>0</v>
      </c>
      <c r="AA364" s="44">
        <f>IF(Esiehdot!D$8&gt;=IFERROR(VLOOKUP(H364,Valintalistat!G$2:H$5,2,0),99),1,0)</f>
        <v>0</v>
      </c>
      <c r="AB364" s="43">
        <f t="shared" si="47"/>
        <v>0</v>
      </c>
      <c r="AC364" s="44">
        <f>IF(Esiehdot!E$4=IFERROR(VLOOKUP(E364,Valintalistat!D$2:H$7,5,0),99),1,0)</f>
        <v>0</v>
      </c>
      <c r="AD364" s="44">
        <f>IF(Esiehdot!E$5=IFERROR(VLOOKUP(F364,Valintalistat!E$2:H$5,4,0),99),1,0)</f>
        <v>0</v>
      </c>
      <c r="AE364" s="44">
        <f>IF(Esiehdot!E$6=IFERROR(VLOOKUP(G364,Valintalistat!F$2:H$5,3,0),99),1,0)</f>
        <v>0</v>
      </c>
      <c r="AF364" s="44">
        <f>IF(Esiehdot!E$8=IFERROR(VLOOKUP(H364,Valintalistat!G$2:H$3,2,0),98),1,0)</f>
        <v>0</v>
      </c>
      <c r="AG364" s="43">
        <f t="shared" si="48"/>
        <v>0</v>
      </c>
      <c r="AH364" s="43">
        <f>IFERROR(HLOOKUP(Esiehdot!$B$17,Käyttötapauskriteerit!G$1:P223,364,0),1)</f>
        <v>1</v>
      </c>
      <c r="AI364" s="43">
        <f t="shared" si="49"/>
        <v>0</v>
      </c>
      <c r="AJ364" s="43">
        <f t="shared" si="50"/>
        <v>0</v>
      </c>
      <c r="AK364" s="43">
        <f t="shared" si="51"/>
        <v>0</v>
      </c>
      <c r="AL364" s="43">
        <f t="shared" si="52"/>
        <v>0</v>
      </c>
      <c r="AM364" s="43"/>
      <c r="AN364" s="45" t="str">
        <f t="shared" si="53"/>
        <v/>
      </c>
    </row>
    <row r="365" spans="1:40" ht="15.6">
      <c r="A365" s="5"/>
      <c r="B365" s="5"/>
      <c r="E365" s="17"/>
      <c r="F365" s="17"/>
      <c r="G365" s="17"/>
      <c r="H365" s="17"/>
      <c r="I365" s="17"/>
      <c r="J365" s="17"/>
      <c r="K365" s="17"/>
      <c r="L365" s="32"/>
      <c r="M365" s="61"/>
      <c r="N365" s="23"/>
      <c r="O365" s="23"/>
      <c r="P365" s="9"/>
      <c r="Q365" s="9"/>
      <c r="R365" s="9"/>
      <c r="S365" s="9"/>
      <c r="U365" s="42" t="str">
        <f t="shared" si="45"/>
        <v>, L:, E:, S:, TS:</v>
      </c>
      <c r="V365" s="42" t="str">
        <f t="shared" si="46"/>
        <v/>
      </c>
      <c r="W365" s="43">
        <f>IFERROR(VLOOKUP(A365,Esiehdot!A$11:D$15,4,0), 0)</f>
        <v>0</v>
      </c>
      <c r="X365" s="44">
        <f>IF(Esiehdot!D$4&gt;=IFERROR(VLOOKUP(E365,Valintalistat!D$2:H$7,5,0), 99),1,0)</f>
        <v>0</v>
      </c>
      <c r="Y365" s="44">
        <f>IF(Esiehdot!D$5&gt;=IFERROR(VLOOKUP(F365,Valintalistat!E$2:H$5,4,0), 99),1,0)</f>
        <v>0</v>
      </c>
      <c r="Z365" s="44">
        <f>IF(Esiehdot!D$6&gt;=IFERROR(VLOOKUP(G365,Valintalistat!F$2:H$5,3,0),99),1,0)</f>
        <v>0</v>
      </c>
      <c r="AA365" s="44">
        <f>IF(Esiehdot!D$8&gt;=IFERROR(VLOOKUP(H365,Valintalistat!G$2:H$5,2,0),99),1,0)</f>
        <v>0</v>
      </c>
      <c r="AB365" s="43">
        <f t="shared" si="47"/>
        <v>0</v>
      </c>
      <c r="AC365" s="44">
        <f>IF(Esiehdot!E$4=IFERROR(VLOOKUP(E365,Valintalistat!D$2:H$7,5,0),99),1,0)</f>
        <v>0</v>
      </c>
      <c r="AD365" s="44">
        <f>IF(Esiehdot!E$5=IFERROR(VLOOKUP(F365,Valintalistat!E$2:H$5,4,0),99),1,0)</f>
        <v>0</v>
      </c>
      <c r="AE365" s="44">
        <f>IF(Esiehdot!E$6=IFERROR(VLOOKUP(G365,Valintalistat!F$2:H$5,3,0),99),1,0)</f>
        <v>0</v>
      </c>
      <c r="AF365" s="44">
        <f>IF(Esiehdot!E$8=IFERROR(VLOOKUP(H365,Valintalistat!G$2:H$3,2,0),98),1,0)</f>
        <v>0</v>
      </c>
      <c r="AG365" s="43">
        <f t="shared" si="48"/>
        <v>0</v>
      </c>
      <c r="AH365" s="43">
        <f>IFERROR(HLOOKUP(Esiehdot!$B$17,Käyttötapauskriteerit!G$1:P223,365,0),1)</f>
        <v>1</v>
      </c>
      <c r="AI365" s="43">
        <f t="shared" si="49"/>
        <v>0</v>
      </c>
      <c r="AJ365" s="43">
        <f t="shared" si="50"/>
        <v>0</v>
      </c>
      <c r="AK365" s="43">
        <f t="shared" si="51"/>
        <v>0</v>
      </c>
      <c r="AL365" s="43">
        <f t="shared" si="52"/>
        <v>0</v>
      </c>
      <c r="AM365" s="43"/>
      <c r="AN365" s="45" t="str">
        <f t="shared" si="53"/>
        <v/>
      </c>
    </row>
    <row r="366" spans="1:40" ht="15.6">
      <c r="A366" s="5"/>
      <c r="B366" s="5"/>
      <c r="E366" s="17"/>
      <c r="F366" s="17"/>
      <c r="G366" s="17"/>
      <c r="H366" s="17"/>
      <c r="I366" s="17"/>
      <c r="J366" s="17"/>
      <c r="K366" s="17"/>
      <c r="L366" s="32"/>
      <c r="M366" s="61"/>
      <c r="N366" s="23"/>
      <c r="O366" s="23"/>
      <c r="P366" s="9"/>
      <c r="Q366" s="9"/>
      <c r="R366" s="9"/>
      <c r="S366" s="9"/>
      <c r="U366" s="42" t="str">
        <f t="shared" si="45"/>
        <v>, L:, E:, S:, TS:</v>
      </c>
      <c r="V366" s="42" t="str">
        <f t="shared" si="46"/>
        <v/>
      </c>
      <c r="W366" s="43">
        <f>IFERROR(VLOOKUP(A366,Esiehdot!A$11:D$15,4,0), 0)</f>
        <v>0</v>
      </c>
      <c r="X366" s="44">
        <f>IF(Esiehdot!D$4&gt;=IFERROR(VLOOKUP(E366,Valintalistat!D$2:H$7,5,0), 99),1,0)</f>
        <v>0</v>
      </c>
      <c r="Y366" s="44">
        <f>IF(Esiehdot!D$5&gt;=IFERROR(VLOOKUP(F366,Valintalistat!E$2:H$5,4,0), 99),1,0)</f>
        <v>0</v>
      </c>
      <c r="Z366" s="44">
        <f>IF(Esiehdot!D$6&gt;=IFERROR(VLOOKUP(G366,Valintalistat!F$2:H$5,3,0),99),1,0)</f>
        <v>0</v>
      </c>
      <c r="AA366" s="44">
        <f>IF(Esiehdot!D$8&gt;=IFERROR(VLOOKUP(H366,Valintalistat!G$2:H$5,2,0),99),1,0)</f>
        <v>0</v>
      </c>
      <c r="AB366" s="43">
        <f t="shared" si="47"/>
        <v>0</v>
      </c>
      <c r="AC366" s="44">
        <f>IF(Esiehdot!E$4=IFERROR(VLOOKUP(E366,Valintalistat!D$2:H$7,5,0),99),1,0)</f>
        <v>0</v>
      </c>
      <c r="AD366" s="44">
        <f>IF(Esiehdot!E$5=IFERROR(VLOOKUP(F366,Valintalistat!E$2:H$5,4,0),99),1,0)</f>
        <v>0</v>
      </c>
      <c r="AE366" s="44">
        <f>IF(Esiehdot!E$6=IFERROR(VLOOKUP(G366,Valintalistat!F$2:H$5,3,0),99),1,0)</f>
        <v>0</v>
      </c>
      <c r="AF366" s="44">
        <f>IF(Esiehdot!E$8=IFERROR(VLOOKUP(H366,Valintalistat!G$2:H$3,2,0),98),1,0)</f>
        <v>0</v>
      </c>
      <c r="AG366" s="43">
        <f t="shared" si="48"/>
        <v>0</v>
      </c>
      <c r="AH366" s="43">
        <f>IFERROR(HLOOKUP(Esiehdot!$B$17,Käyttötapauskriteerit!G$1:P223,366,0),1)</f>
        <v>1</v>
      </c>
      <c r="AI366" s="43">
        <f t="shared" si="49"/>
        <v>0</v>
      </c>
      <c r="AJ366" s="43">
        <f t="shared" si="50"/>
        <v>0</v>
      </c>
      <c r="AK366" s="43">
        <f t="shared" si="51"/>
        <v>0</v>
      </c>
      <c r="AL366" s="43">
        <f t="shared" si="52"/>
        <v>0</v>
      </c>
      <c r="AM366" s="43"/>
      <c r="AN366" s="45" t="str">
        <f t="shared" si="53"/>
        <v/>
      </c>
    </row>
    <row r="367" spans="1:40" ht="15.6">
      <c r="A367" s="5"/>
      <c r="B367" s="5"/>
      <c r="E367" s="17"/>
      <c r="F367" s="17"/>
      <c r="G367" s="17"/>
      <c r="H367" s="17"/>
      <c r="I367" s="17"/>
      <c r="J367" s="17"/>
      <c r="K367" s="17"/>
      <c r="L367" s="32"/>
      <c r="M367" s="61"/>
      <c r="N367" s="23"/>
      <c r="O367" s="23"/>
      <c r="P367" s="9"/>
      <c r="Q367" s="9"/>
      <c r="R367" s="9"/>
      <c r="S367" s="9"/>
      <c r="U367" s="42" t="str">
        <f t="shared" si="45"/>
        <v>, L:, E:, S:, TS:</v>
      </c>
      <c r="V367" s="42" t="str">
        <f t="shared" si="46"/>
        <v/>
      </c>
      <c r="W367" s="43">
        <f>IFERROR(VLOOKUP(A367,Esiehdot!A$11:D$15,4,0), 0)</f>
        <v>0</v>
      </c>
      <c r="X367" s="44">
        <f>IF(Esiehdot!D$4&gt;=IFERROR(VLOOKUP(E367,Valintalistat!D$2:H$7,5,0), 99),1,0)</f>
        <v>0</v>
      </c>
      <c r="Y367" s="44">
        <f>IF(Esiehdot!D$5&gt;=IFERROR(VLOOKUP(F367,Valintalistat!E$2:H$5,4,0), 99),1,0)</f>
        <v>0</v>
      </c>
      <c r="Z367" s="44">
        <f>IF(Esiehdot!D$6&gt;=IFERROR(VLOOKUP(G367,Valintalistat!F$2:H$5,3,0),99),1,0)</f>
        <v>0</v>
      </c>
      <c r="AA367" s="44">
        <f>IF(Esiehdot!D$8&gt;=IFERROR(VLOOKUP(H367,Valintalistat!G$2:H$5,2,0),99),1,0)</f>
        <v>0</v>
      </c>
      <c r="AB367" s="43">
        <f t="shared" si="47"/>
        <v>0</v>
      </c>
      <c r="AC367" s="44">
        <f>IF(Esiehdot!E$4=IFERROR(VLOOKUP(E367,Valintalistat!D$2:H$7,5,0),99),1,0)</f>
        <v>0</v>
      </c>
      <c r="AD367" s="44">
        <f>IF(Esiehdot!E$5=IFERROR(VLOOKUP(F367,Valintalistat!E$2:H$5,4,0),99),1,0)</f>
        <v>0</v>
      </c>
      <c r="AE367" s="44">
        <f>IF(Esiehdot!E$6=IFERROR(VLOOKUP(G367,Valintalistat!F$2:H$5,3,0),99),1,0)</f>
        <v>0</v>
      </c>
      <c r="AF367" s="44">
        <f>IF(Esiehdot!E$8=IFERROR(VLOOKUP(H367,Valintalistat!G$2:H$3,2,0),98),1,0)</f>
        <v>0</v>
      </c>
      <c r="AG367" s="43">
        <f t="shared" si="48"/>
        <v>0</v>
      </c>
      <c r="AH367" s="43">
        <f>IFERROR(HLOOKUP(Esiehdot!$B$17,Käyttötapauskriteerit!G$1:P223,367,0),1)</f>
        <v>1</v>
      </c>
      <c r="AI367" s="43">
        <f t="shared" si="49"/>
        <v>0</v>
      </c>
      <c r="AJ367" s="43">
        <f t="shared" si="50"/>
        <v>0</v>
      </c>
      <c r="AK367" s="43">
        <f t="shared" si="51"/>
        <v>0</v>
      </c>
      <c r="AL367" s="43">
        <f t="shared" si="52"/>
        <v>0</v>
      </c>
      <c r="AM367" s="43"/>
      <c r="AN367" s="45" t="str">
        <f t="shared" si="53"/>
        <v/>
      </c>
    </row>
    <row r="368" spans="1:40" ht="15.6">
      <c r="A368" s="5"/>
      <c r="B368" s="5"/>
      <c r="E368" s="17"/>
      <c r="F368" s="17"/>
      <c r="G368" s="17"/>
      <c r="H368" s="17"/>
      <c r="I368" s="17"/>
      <c r="J368" s="17"/>
      <c r="K368" s="17"/>
      <c r="L368" s="32"/>
      <c r="M368" s="61"/>
      <c r="N368" s="23"/>
      <c r="O368" s="23"/>
      <c r="P368" s="9"/>
      <c r="Q368" s="9"/>
      <c r="R368" s="9"/>
      <c r="S368" s="9"/>
      <c r="U368" s="42" t="str">
        <f t="shared" si="45"/>
        <v>, L:, E:, S:, TS:</v>
      </c>
      <c r="V368" s="42" t="str">
        <f t="shared" si="46"/>
        <v/>
      </c>
      <c r="W368" s="43">
        <f>IFERROR(VLOOKUP(A368,Esiehdot!A$11:D$15,4,0), 0)</f>
        <v>0</v>
      </c>
      <c r="X368" s="44">
        <f>IF(Esiehdot!D$4&gt;=IFERROR(VLOOKUP(E368,Valintalistat!D$2:H$7,5,0), 99),1,0)</f>
        <v>0</v>
      </c>
      <c r="Y368" s="44">
        <f>IF(Esiehdot!D$5&gt;=IFERROR(VLOOKUP(F368,Valintalistat!E$2:H$5,4,0), 99),1,0)</f>
        <v>0</v>
      </c>
      <c r="Z368" s="44">
        <f>IF(Esiehdot!D$6&gt;=IFERROR(VLOOKUP(G368,Valintalistat!F$2:H$5,3,0),99),1,0)</f>
        <v>0</v>
      </c>
      <c r="AA368" s="44">
        <f>IF(Esiehdot!D$8&gt;=IFERROR(VLOOKUP(H368,Valintalistat!G$2:H$5,2,0),99),1,0)</f>
        <v>0</v>
      </c>
      <c r="AB368" s="43">
        <f t="shared" si="47"/>
        <v>0</v>
      </c>
      <c r="AC368" s="44">
        <f>IF(Esiehdot!E$4=IFERROR(VLOOKUP(E368,Valintalistat!D$2:H$7,5,0),99),1,0)</f>
        <v>0</v>
      </c>
      <c r="AD368" s="44">
        <f>IF(Esiehdot!E$5=IFERROR(VLOOKUP(F368,Valintalistat!E$2:H$5,4,0),99),1,0)</f>
        <v>0</v>
      </c>
      <c r="AE368" s="44">
        <f>IF(Esiehdot!E$6=IFERROR(VLOOKUP(G368,Valintalistat!F$2:H$5,3,0),99),1,0)</f>
        <v>0</v>
      </c>
      <c r="AF368" s="44">
        <f>IF(Esiehdot!E$8=IFERROR(VLOOKUP(H368,Valintalistat!G$2:H$3,2,0),98),1,0)</f>
        <v>0</v>
      </c>
      <c r="AG368" s="43">
        <f t="shared" si="48"/>
        <v>0</v>
      </c>
      <c r="AH368" s="43">
        <f>IFERROR(HLOOKUP(Esiehdot!$B$17,Käyttötapauskriteerit!G$1:P223,368,0),1)</f>
        <v>1</v>
      </c>
      <c r="AI368" s="43">
        <f t="shared" si="49"/>
        <v>0</v>
      </c>
      <c r="AJ368" s="43">
        <f t="shared" si="50"/>
        <v>0</v>
      </c>
      <c r="AK368" s="43">
        <f t="shared" si="51"/>
        <v>0</v>
      </c>
      <c r="AL368" s="43">
        <f t="shared" si="52"/>
        <v>0</v>
      </c>
      <c r="AM368" s="43"/>
      <c r="AN368" s="45" t="str">
        <f t="shared" si="53"/>
        <v/>
      </c>
    </row>
    <row r="369" spans="1:40" ht="15.6">
      <c r="A369" s="5"/>
      <c r="B369" s="5"/>
      <c r="E369" s="17"/>
      <c r="F369" s="17"/>
      <c r="G369" s="17"/>
      <c r="H369" s="17"/>
      <c r="I369" s="17"/>
      <c r="J369" s="17"/>
      <c r="K369" s="17"/>
      <c r="L369" s="32"/>
      <c r="M369" s="61"/>
      <c r="N369" s="23"/>
      <c r="O369" s="23"/>
      <c r="P369" s="9"/>
      <c r="Q369" s="9"/>
      <c r="R369" s="9"/>
      <c r="S369" s="9"/>
      <c r="U369" s="42" t="str">
        <f t="shared" si="45"/>
        <v>, L:, E:, S:, TS:</v>
      </c>
      <c r="V369" s="42" t="str">
        <f t="shared" si="46"/>
        <v/>
      </c>
      <c r="W369" s="43">
        <f>IFERROR(VLOOKUP(A369,Esiehdot!A$11:D$15,4,0), 0)</f>
        <v>0</v>
      </c>
      <c r="X369" s="44">
        <f>IF(Esiehdot!D$4&gt;=IFERROR(VLOOKUP(E369,Valintalistat!D$2:H$7,5,0), 99),1,0)</f>
        <v>0</v>
      </c>
      <c r="Y369" s="44">
        <f>IF(Esiehdot!D$5&gt;=IFERROR(VLOOKUP(F369,Valintalistat!E$2:H$5,4,0), 99),1,0)</f>
        <v>0</v>
      </c>
      <c r="Z369" s="44">
        <f>IF(Esiehdot!D$6&gt;=IFERROR(VLOOKUP(G369,Valintalistat!F$2:H$5,3,0),99),1,0)</f>
        <v>0</v>
      </c>
      <c r="AA369" s="44">
        <f>IF(Esiehdot!D$8&gt;=IFERROR(VLOOKUP(H369,Valintalistat!G$2:H$5,2,0),99),1,0)</f>
        <v>0</v>
      </c>
      <c r="AB369" s="43">
        <f t="shared" si="47"/>
        <v>0</v>
      </c>
      <c r="AC369" s="44">
        <f>IF(Esiehdot!E$4=IFERROR(VLOOKUP(E369,Valintalistat!D$2:H$7,5,0),99),1,0)</f>
        <v>0</v>
      </c>
      <c r="AD369" s="44">
        <f>IF(Esiehdot!E$5=IFERROR(VLOOKUP(F369,Valintalistat!E$2:H$5,4,0),99),1,0)</f>
        <v>0</v>
      </c>
      <c r="AE369" s="44">
        <f>IF(Esiehdot!E$6=IFERROR(VLOOKUP(G369,Valintalistat!F$2:H$5,3,0),99),1,0)</f>
        <v>0</v>
      </c>
      <c r="AF369" s="44">
        <f>IF(Esiehdot!E$8=IFERROR(VLOOKUP(H369,Valintalistat!G$2:H$3,2,0),98),1,0)</f>
        <v>0</v>
      </c>
      <c r="AG369" s="43">
        <f t="shared" si="48"/>
        <v>0</v>
      </c>
      <c r="AH369" s="43">
        <f>IFERROR(HLOOKUP(Esiehdot!$B$17,Käyttötapauskriteerit!G$1:P223,369,0),1)</f>
        <v>1</v>
      </c>
      <c r="AI369" s="43">
        <f t="shared" si="49"/>
        <v>0</v>
      </c>
      <c r="AJ369" s="43">
        <f t="shared" si="50"/>
        <v>0</v>
      </c>
      <c r="AK369" s="43">
        <f t="shared" si="51"/>
        <v>0</v>
      </c>
      <c r="AL369" s="43">
        <f t="shared" si="52"/>
        <v>0</v>
      </c>
      <c r="AM369" s="43"/>
      <c r="AN369" s="45" t="str">
        <f t="shared" si="53"/>
        <v/>
      </c>
    </row>
    <row r="370" spans="1:40" ht="15.6">
      <c r="A370" s="5"/>
      <c r="B370" s="5"/>
      <c r="E370" s="17"/>
      <c r="F370" s="17"/>
      <c r="G370" s="17"/>
      <c r="H370" s="17"/>
      <c r="I370" s="17"/>
      <c r="J370" s="17"/>
      <c r="K370" s="17"/>
      <c r="L370" s="32"/>
      <c r="M370" s="61"/>
      <c r="N370" s="23"/>
      <c r="O370" s="23"/>
      <c r="P370" s="9"/>
      <c r="Q370" s="9"/>
      <c r="R370" s="9"/>
      <c r="S370" s="9"/>
      <c r="U370" s="42" t="str">
        <f t="shared" si="45"/>
        <v>, L:, E:, S:, TS:</v>
      </c>
      <c r="V370" s="42" t="str">
        <f t="shared" si="46"/>
        <v/>
      </c>
      <c r="W370" s="43">
        <f>IFERROR(VLOOKUP(A370,Esiehdot!A$11:D$15,4,0), 0)</f>
        <v>0</v>
      </c>
      <c r="X370" s="44">
        <f>IF(Esiehdot!D$4&gt;=IFERROR(VLOOKUP(E370,Valintalistat!D$2:H$7,5,0), 99),1,0)</f>
        <v>0</v>
      </c>
      <c r="Y370" s="44">
        <f>IF(Esiehdot!D$5&gt;=IFERROR(VLOOKUP(F370,Valintalistat!E$2:H$5,4,0), 99),1,0)</f>
        <v>0</v>
      </c>
      <c r="Z370" s="44">
        <f>IF(Esiehdot!D$6&gt;=IFERROR(VLOOKUP(G370,Valintalistat!F$2:H$5,3,0),99),1,0)</f>
        <v>0</v>
      </c>
      <c r="AA370" s="44">
        <f>IF(Esiehdot!D$8&gt;=IFERROR(VLOOKUP(H370,Valintalistat!G$2:H$5,2,0),99),1,0)</f>
        <v>0</v>
      </c>
      <c r="AB370" s="43">
        <f t="shared" si="47"/>
        <v>0</v>
      </c>
      <c r="AC370" s="44">
        <f>IF(Esiehdot!E$4=IFERROR(VLOOKUP(E370,Valintalistat!D$2:H$7,5,0),99),1,0)</f>
        <v>0</v>
      </c>
      <c r="AD370" s="44">
        <f>IF(Esiehdot!E$5=IFERROR(VLOOKUP(F370,Valintalistat!E$2:H$5,4,0),99),1,0)</f>
        <v>0</v>
      </c>
      <c r="AE370" s="44">
        <f>IF(Esiehdot!E$6=IFERROR(VLOOKUP(G370,Valintalistat!F$2:H$5,3,0),99),1,0)</f>
        <v>0</v>
      </c>
      <c r="AF370" s="44">
        <f>IF(Esiehdot!E$8=IFERROR(VLOOKUP(H370,Valintalistat!G$2:H$3,2,0),98),1,0)</f>
        <v>0</v>
      </c>
      <c r="AG370" s="43">
        <f t="shared" si="48"/>
        <v>0</v>
      </c>
      <c r="AH370" s="43">
        <f>IFERROR(HLOOKUP(Esiehdot!$B$17,Käyttötapauskriteerit!G$1:P223,370,0),1)</f>
        <v>1</v>
      </c>
      <c r="AI370" s="43">
        <f t="shared" si="49"/>
        <v>0</v>
      </c>
      <c r="AJ370" s="43">
        <f t="shared" si="50"/>
        <v>0</v>
      </c>
      <c r="AK370" s="43">
        <f t="shared" si="51"/>
        <v>0</v>
      </c>
      <c r="AL370" s="43">
        <f t="shared" si="52"/>
        <v>0</v>
      </c>
      <c r="AM370" s="43"/>
      <c r="AN370" s="45" t="str">
        <f t="shared" si="53"/>
        <v/>
      </c>
    </row>
    <row r="371" spans="1:40" ht="15.6">
      <c r="A371" s="5"/>
      <c r="B371" s="5"/>
      <c r="E371" s="17"/>
      <c r="F371" s="17"/>
      <c r="G371" s="17"/>
      <c r="H371" s="17"/>
      <c r="I371" s="17"/>
      <c r="J371" s="17"/>
      <c r="K371" s="17"/>
      <c r="L371" s="32"/>
      <c r="M371" s="61"/>
      <c r="N371" s="23"/>
      <c r="O371" s="23"/>
      <c r="P371" s="9"/>
      <c r="Q371" s="9"/>
      <c r="R371" s="9"/>
      <c r="S371" s="9"/>
      <c r="U371" s="42" t="str">
        <f t="shared" si="45"/>
        <v>, L:, E:, S:, TS:</v>
      </c>
      <c r="V371" s="42" t="str">
        <f t="shared" si="46"/>
        <v/>
      </c>
      <c r="W371" s="43">
        <f>IFERROR(VLOOKUP(A371,Esiehdot!A$11:D$15,4,0), 0)</f>
        <v>0</v>
      </c>
      <c r="X371" s="44">
        <f>IF(Esiehdot!D$4&gt;=IFERROR(VLOOKUP(E371,Valintalistat!D$2:H$7,5,0), 99),1,0)</f>
        <v>0</v>
      </c>
      <c r="Y371" s="44">
        <f>IF(Esiehdot!D$5&gt;=IFERROR(VLOOKUP(F371,Valintalistat!E$2:H$5,4,0), 99),1,0)</f>
        <v>0</v>
      </c>
      <c r="Z371" s="44">
        <f>IF(Esiehdot!D$6&gt;=IFERROR(VLOOKUP(G371,Valintalistat!F$2:H$5,3,0),99),1,0)</f>
        <v>0</v>
      </c>
      <c r="AA371" s="44">
        <f>IF(Esiehdot!D$8&gt;=IFERROR(VLOOKUP(H371,Valintalistat!G$2:H$5,2,0),99),1,0)</f>
        <v>0</v>
      </c>
      <c r="AB371" s="43">
        <f t="shared" si="47"/>
        <v>0</v>
      </c>
      <c r="AC371" s="44">
        <f>IF(Esiehdot!E$4=IFERROR(VLOOKUP(E371,Valintalistat!D$2:H$7,5,0),99),1,0)</f>
        <v>0</v>
      </c>
      <c r="AD371" s="44">
        <f>IF(Esiehdot!E$5=IFERROR(VLOOKUP(F371,Valintalistat!E$2:H$5,4,0),99),1,0)</f>
        <v>0</v>
      </c>
      <c r="AE371" s="44">
        <f>IF(Esiehdot!E$6=IFERROR(VLOOKUP(G371,Valintalistat!F$2:H$5,3,0),99),1,0)</f>
        <v>0</v>
      </c>
      <c r="AF371" s="44">
        <f>IF(Esiehdot!E$8=IFERROR(VLOOKUP(H371,Valintalistat!G$2:H$3,2,0),98),1,0)</f>
        <v>0</v>
      </c>
      <c r="AG371" s="43">
        <f t="shared" si="48"/>
        <v>0</v>
      </c>
      <c r="AH371" s="43">
        <f>IFERROR(HLOOKUP(Esiehdot!$B$17,Käyttötapauskriteerit!G$1:P223,371,0),1)</f>
        <v>1</v>
      </c>
      <c r="AI371" s="43">
        <f t="shared" si="49"/>
        <v>0</v>
      </c>
      <c r="AJ371" s="43">
        <f t="shared" si="50"/>
        <v>0</v>
      </c>
      <c r="AK371" s="43">
        <f t="shared" si="51"/>
        <v>0</v>
      </c>
      <c r="AL371" s="43">
        <f t="shared" si="52"/>
        <v>0</v>
      </c>
      <c r="AM371" s="43"/>
      <c r="AN371" s="45" t="str">
        <f t="shared" si="53"/>
        <v/>
      </c>
    </row>
    <row r="372" spans="1:40" ht="15.6">
      <c r="A372" s="5"/>
      <c r="B372" s="5"/>
      <c r="E372" s="17"/>
      <c r="F372" s="17"/>
      <c r="G372" s="17"/>
      <c r="H372" s="17"/>
      <c r="I372" s="17"/>
      <c r="J372" s="17"/>
      <c r="K372" s="17"/>
      <c r="L372" s="32"/>
      <c r="M372" s="61"/>
      <c r="N372" s="23"/>
      <c r="O372" s="23"/>
      <c r="P372" s="9"/>
      <c r="Q372" s="9"/>
      <c r="R372" s="9"/>
      <c r="S372" s="9"/>
      <c r="U372" s="42" t="str">
        <f t="shared" si="45"/>
        <v>, L:, E:, S:, TS:</v>
      </c>
      <c r="V372" s="42" t="str">
        <f t="shared" si="46"/>
        <v/>
      </c>
      <c r="W372" s="43">
        <f>IFERROR(VLOOKUP(A372,Esiehdot!A$11:D$15,4,0), 0)</f>
        <v>0</v>
      </c>
      <c r="X372" s="44">
        <f>IF(Esiehdot!D$4&gt;=IFERROR(VLOOKUP(E372,Valintalistat!D$2:H$7,5,0), 99),1,0)</f>
        <v>0</v>
      </c>
      <c r="Y372" s="44">
        <f>IF(Esiehdot!D$5&gt;=IFERROR(VLOOKUP(F372,Valintalistat!E$2:H$5,4,0), 99),1,0)</f>
        <v>0</v>
      </c>
      <c r="Z372" s="44">
        <f>IF(Esiehdot!D$6&gt;=IFERROR(VLOOKUP(G372,Valintalistat!F$2:H$5,3,0),99),1,0)</f>
        <v>0</v>
      </c>
      <c r="AA372" s="44">
        <f>IF(Esiehdot!D$8&gt;=IFERROR(VLOOKUP(H372,Valintalistat!G$2:H$5,2,0),99),1,0)</f>
        <v>0</v>
      </c>
      <c r="AB372" s="43">
        <f t="shared" si="47"/>
        <v>0</v>
      </c>
      <c r="AC372" s="44">
        <f>IF(Esiehdot!E$4=IFERROR(VLOOKUP(E372,Valintalistat!D$2:H$7,5,0),99),1,0)</f>
        <v>0</v>
      </c>
      <c r="AD372" s="44">
        <f>IF(Esiehdot!E$5=IFERROR(VLOOKUP(F372,Valintalistat!E$2:H$5,4,0),99),1,0)</f>
        <v>0</v>
      </c>
      <c r="AE372" s="44">
        <f>IF(Esiehdot!E$6=IFERROR(VLOOKUP(G372,Valintalistat!F$2:H$5,3,0),99),1,0)</f>
        <v>0</v>
      </c>
      <c r="AF372" s="44">
        <f>IF(Esiehdot!E$8=IFERROR(VLOOKUP(H372,Valintalistat!G$2:H$3,2,0),98),1,0)</f>
        <v>0</v>
      </c>
      <c r="AG372" s="43">
        <f t="shared" si="48"/>
        <v>0</v>
      </c>
      <c r="AH372" s="43">
        <f>IFERROR(HLOOKUP(Esiehdot!$B$17,Käyttötapauskriteerit!G$1:P223,372,0),1)</f>
        <v>1</v>
      </c>
      <c r="AI372" s="43">
        <f t="shared" si="49"/>
        <v>0</v>
      </c>
      <c r="AJ372" s="43">
        <f t="shared" si="50"/>
        <v>0</v>
      </c>
      <c r="AK372" s="43">
        <f t="shared" si="51"/>
        <v>0</v>
      </c>
      <c r="AL372" s="43">
        <f t="shared" si="52"/>
        <v>0</v>
      </c>
      <c r="AM372" s="43"/>
      <c r="AN372" s="45" t="str">
        <f t="shared" si="53"/>
        <v/>
      </c>
    </row>
    <row r="373" spans="1:40" ht="15.6">
      <c r="A373" s="5"/>
      <c r="B373" s="5"/>
      <c r="E373" s="17"/>
      <c r="F373" s="17"/>
      <c r="G373" s="17"/>
      <c r="H373" s="17"/>
      <c r="I373" s="17"/>
      <c r="J373" s="17"/>
      <c r="K373" s="17"/>
      <c r="L373" s="32"/>
      <c r="M373" s="61"/>
      <c r="N373" s="23"/>
      <c r="O373" s="23"/>
      <c r="P373" s="9"/>
      <c r="Q373" s="9"/>
      <c r="R373" s="9"/>
      <c r="S373" s="9"/>
      <c r="U373" s="42" t="str">
        <f t="shared" si="45"/>
        <v>, L:, E:, S:, TS:</v>
      </c>
      <c r="V373" s="42" t="str">
        <f t="shared" si="46"/>
        <v/>
      </c>
      <c r="W373" s="43">
        <f>IFERROR(VLOOKUP(A373,Esiehdot!A$11:D$15,4,0), 0)</f>
        <v>0</v>
      </c>
      <c r="X373" s="44">
        <f>IF(Esiehdot!D$4&gt;=IFERROR(VLOOKUP(E373,Valintalistat!D$2:H$7,5,0), 99),1,0)</f>
        <v>0</v>
      </c>
      <c r="Y373" s="44">
        <f>IF(Esiehdot!D$5&gt;=IFERROR(VLOOKUP(F373,Valintalistat!E$2:H$5,4,0), 99),1,0)</f>
        <v>0</v>
      </c>
      <c r="Z373" s="44">
        <f>IF(Esiehdot!D$6&gt;=IFERROR(VLOOKUP(G373,Valintalistat!F$2:H$5,3,0),99),1,0)</f>
        <v>0</v>
      </c>
      <c r="AA373" s="44">
        <f>IF(Esiehdot!D$8&gt;=IFERROR(VLOOKUP(H373,Valintalistat!G$2:H$5,2,0),99),1,0)</f>
        <v>0</v>
      </c>
      <c r="AB373" s="43">
        <f t="shared" si="47"/>
        <v>0</v>
      </c>
      <c r="AC373" s="44">
        <f>IF(Esiehdot!E$4=IFERROR(VLOOKUP(E373,Valintalistat!D$2:H$7,5,0),99),1,0)</f>
        <v>0</v>
      </c>
      <c r="AD373" s="44">
        <f>IF(Esiehdot!E$5=IFERROR(VLOOKUP(F373,Valintalistat!E$2:H$5,4,0),99),1,0)</f>
        <v>0</v>
      </c>
      <c r="AE373" s="44">
        <f>IF(Esiehdot!E$6=IFERROR(VLOOKUP(G373,Valintalistat!F$2:H$5,3,0),99),1,0)</f>
        <v>0</v>
      </c>
      <c r="AF373" s="44">
        <f>IF(Esiehdot!E$8=IFERROR(VLOOKUP(H373,Valintalistat!G$2:H$3,2,0),98),1,0)</f>
        <v>0</v>
      </c>
      <c r="AG373" s="43">
        <f t="shared" si="48"/>
        <v>0</v>
      </c>
      <c r="AH373" s="43">
        <f>IFERROR(HLOOKUP(Esiehdot!$B$17,Käyttötapauskriteerit!G$1:P223,373,0),1)</f>
        <v>1</v>
      </c>
      <c r="AI373" s="43">
        <f t="shared" si="49"/>
        <v>0</v>
      </c>
      <c r="AJ373" s="43">
        <f t="shared" si="50"/>
        <v>0</v>
      </c>
      <c r="AK373" s="43">
        <f t="shared" si="51"/>
        <v>0</v>
      </c>
      <c r="AL373" s="43">
        <f t="shared" si="52"/>
        <v>0</v>
      </c>
      <c r="AM373" s="43"/>
      <c r="AN373" s="45" t="str">
        <f t="shared" si="53"/>
        <v/>
      </c>
    </row>
    <row r="374" spans="1:40" ht="15.6">
      <c r="A374" s="5"/>
      <c r="B374" s="5"/>
      <c r="E374" s="17"/>
      <c r="F374" s="17"/>
      <c r="G374" s="17"/>
      <c r="H374" s="17"/>
      <c r="I374" s="17"/>
      <c r="J374" s="17"/>
      <c r="K374" s="17"/>
      <c r="L374" s="32"/>
      <c r="M374" s="61"/>
      <c r="N374" s="23"/>
      <c r="O374" s="23"/>
      <c r="P374" s="9"/>
      <c r="Q374" s="9"/>
      <c r="R374" s="9"/>
      <c r="S374" s="9"/>
      <c r="U374" s="42" t="str">
        <f t="shared" si="45"/>
        <v>, L:, E:, S:, TS:</v>
      </c>
      <c r="V374" s="42" t="str">
        <f t="shared" si="46"/>
        <v/>
      </c>
      <c r="W374" s="43">
        <f>IFERROR(VLOOKUP(A374,Esiehdot!A$11:D$15,4,0), 0)</f>
        <v>0</v>
      </c>
      <c r="X374" s="44">
        <f>IF(Esiehdot!D$4&gt;=IFERROR(VLOOKUP(E374,Valintalistat!D$2:H$7,5,0), 99),1,0)</f>
        <v>0</v>
      </c>
      <c r="Y374" s="44">
        <f>IF(Esiehdot!D$5&gt;=IFERROR(VLOOKUP(F374,Valintalistat!E$2:H$5,4,0), 99),1,0)</f>
        <v>0</v>
      </c>
      <c r="Z374" s="44">
        <f>IF(Esiehdot!D$6&gt;=IFERROR(VLOOKUP(G374,Valintalistat!F$2:H$5,3,0),99),1,0)</f>
        <v>0</v>
      </c>
      <c r="AA374" s="44">
        <f>IF(Esiehdot!D$8&gt;=IFERROR(VLOOKUP(H374,Valintalistat!G$2:H$5,2,0),99),1,0)</f>
        <v>0</v>
      </c>
      <c r="AB374" s="43">
        <f t="shared" si="47"/>
        <v>0</v>
      </c>
      <c r="AC374" s="44">
        <f>IF(Esiehdot!E$4=IFERROR(VLOOKUP(E374,Valintalistat!D$2:H$7,5,0),99),1,0)</f>
        <v>0</v>
      </c>
      <c r="AD374" s="44">
        <f>IF(Esiehdot!E$5=IFERROR(VLOOKUP(F374,Valintalistat!E$2:H$5,4,0),99),1,0)</f>
        <v>0</v>
      </c>
      <c r="AE374" s="44">
        <f>IF(Esiehdot!E$6=IFERROR(VLOOKUP(G374,Valintalistat!F$2:H$5,3,0),99),1,0)</f>
        <v>0</v>
      </c>
      <c r="AF374" s="44">
        <f>IF(Esiehdot!E$8=IFERROR(VLOOKUP(H374,Valintalistat!G$2:H$3,2,0),98),1,0)</f>
        <v>0</v>
      </c>
      <c r="AG374" s="43">
        <f t="shared" si="48"/>
        <v>0</v>
      </c>
      <c r="AH374" s="43">
        <f>IFERROR(HLOOKUP(Esiehdot!$B$17,Käyttötapauskriteerit!G$1:P223,374,0),1)</f>
        <v>1</v>
      </c>
      <c r="AI374" s="43">
        <f t="shared" si="49"/>
        <v>0</v>
      </c>
      <c r="AJ374" s="43">
        <f t="shared" si="50"/>
        <v>0</v>
      </c>
      <c r="AK374" s="43">
        <f t="shared" si="51"/>
        <v>0</v>
      </c>
      <c r="AL374" s="43">
        <f t="shared" si="52"/>
        <v>0</v>
      </c>
      <c r="AM374" s="43"/>
      <c r="AN374" s="45" t="str">
        <f t="shared" si="53"/>
        <v/>
      </c>
    </row>
    <row r="375" spans="1:40" ht="15.6">
      <c r="A375" s="5"/>
      <c r="B375" s="5"/>
      <c r="E375" s="17"/>
      <c r="F375" s="17"/>
      <c r="G375" s="17"/>
      <c r="H375" s="17"/>
      <c r="I375" s="17"/>
      <c r="J375" s="17"/>
      <c r="K375" s="17"/>
      <c r="L375" s="32"/>
      <c r="M375" s="61"/>
      <c r="N375" s="23"/>
      <c r="O375" s="23"/>
      <c r="P375" s="9"/>
      <c r="Q375" s="9"/>
      <c r="R375" s="9"/>
      <c r="S375" s="9"/>
      <c r="U375" s="42" t="str">
        <f t="shared" si="45"/>
        <v>, L:, E:, S:, TS:</v>
      </c>
      <c r="V375" s="42" t="str">
        <f t="shared" si="46"/>
        <v/>
      </c>
      <c r="W375" s="43">
        <f>IFERROR(VLOOKUP(A375,Esiehdot!A$11:D$15,4,0), 0)</f>
        <v>0</v>
      </c>
      <c r="X375" s="44">
        <f>IF(Esiehdot!D$4&gt;=IFERROR(VLOOKUP(E375,Valintalistat!D$2:H$7,5,0), 99),1,0)</f>
        <v>0</v>
      </c>
      <c r="Y375" s="44">
        <f>IF(Esiehdot!D$5&gt;=IFERROR(VLOOKUP(F375,Valintalistat!E$2:H$5,4,0), 99),1,0)</f>
        <v>0</v>
      </c>
      <c r="Z375" s="44">
        <f>IF(Esiehdot!D$6&gt;=IFERROR(VLOOKUP(G375,Valintalistat!F$2:H$5,3,0),99),1,0)</f>
        <v>0</v>
      </c>
      <c r="AA375" s="44">
        <f>IF(Esiehdot!D$8&gt;=IFERROR(VLOOKUP(H375,Valintalistat!G$2:H$5,2,0),99),1,0)</f>
        <v>0</v>
      </c>
      <c r="AB375" s="43">
        <f t="shared" si="47"/>
        <v>0</v>
      </c>
      <c r="AC375" s="44">
        <f>IF(Esiehdot!E$4=IFERROR(VLOOKUP(E375,Valintalistat!D$2:H$7,5,0),99),1,0)</f>
        <v>0</v>
      </c>
      <c r="AD375" s="44">
        <f>IF(Esiehdot!E$5=IFERROR(VLOOKUP(F375,Valintalistat!E$2:H$5,4,0),99),1,0)</f>
        <v>0</v>
      </c>
      <c r="AE375" s="44">
        <f>IF(Esiehdot!E$6=IFERROR(VLOOKUP(G375,Valintalistat!F$2:H$5,3,0),99),1,0)</f>
        <v>0</v>
      </c>
      <c r="AF375" s="44">
        <f>IF(Esiehdot!E$8=IFERROR(VLOOKUP(H375,Valintalistat!G$2:H$3,2,0),98),1,0)</f>
        <v>0</v>
      </c>
      <c r="AG375" s="43">
        <f t="shared" si="48"/>
        <v>0</v>
      </c>
      <c r="AH375" s="43">
        <f>IFERROR(HLOOKUP(Esiehdot!$B$17,Käyttötapauskriteerit!G$1:P223,375,0),1)</f>
        <v>1</v>
      </c>
      <c r="AI375" s="43">
        <f t="shared" si="49"/>
        <v>0</v>
      </c>
      <c r="AJ375" s="43">
        <f t="shared" si="50"/>
        <v>0</v>
      </c>
      <c r="AK375" s="43">
        <f t="shared" si="51"/>
        <v>0</v>
      </c>
      <c r="AL375" s="43">
        <f t="shared" si="52"/>
        <v>0</v>
      </c>
      <c r="AM375" s="43"/>
      <c r="AN375" s="45" t="str">
        <f t="shared" si="53"/>
        <v/>
      </c>
    </row>
    <row r="376" spans="1:40" ht="15.6">
      <c r="A376" s="5"/>
      <c r="B376" s="5"/>
      <c r="E376" s="17"/>
      <c r="F376" s="17"/>
      <c r="G376" s="17"/>
      <c r="H376" s="17"/>
      <c r="I376" s="17"/>
      <c r="J376" s="17"/>
      <c r="K376" s="17"/>
      <c r="L376" s="32"/>
      <c r="M376" s="61"/>
      <c r="N376" s="23"/>
      <c r="O376" s="23"/>
      <c r="P376" s="9"/>
      <c r="Q376" s="9"/>
      <c r="R376" s="9"/>
      <c r="S376" s="9"/>
      <c r="U376" s="42" t="str">
        <f t="shared" si="45"/>
        <v>, L:, E:, S:, TS:</v>
      </c>
      <c r="V376" s="42" t="str">
        <f t="shared" si="46"/>
        <v/>
      </c>
      <c r="W376" s="43">
        <f>IFERROR(VLOOKUP(A376,Esiehdot!A$11:D$15,4,0), 0)</f>
        <v>0</v>
      </c>
      <c r="X376" s="44">
        <f>IF(Esiehdot!D$4&gt;=IFERROR(VLOOKUP(E376,Valintalistat!D$2:H$7,5,0), 99),1,0)</f>
        <v>0</v>
      </c>
      <c r="Y376" s="44">
        <f>IF(Esiehdot!D$5&gt;=IFERROR(VLOOKUP(F376,Valintalistat!E$2:H$5,4,0), 99),1,0)</f>
        <v>0</v>
      </c>
      <c r="Z376" s="44">
        <f>IF(Esiehdot!D$6&gt;=IFERROR(VLOOKUP(G376,Valintalistat!F$2:H$5,3,0),99),1,0)</f>
        <v>0</v>
      </c>
      <c r="AA376" s="44">
        <f>IF(Esiehdot!D$8&gt;=IFERROR(VLOOKUP(H376,Valintalistat!G$2:H$5,2,0),99),1,0)</f>
        <v>0</v>
      </c>
      <c r="AB376" s="43">
        <f t="shared" si="47"/>
        <v>0</v>
      </c>
      <c r="AC376" s="44">
        <f>IF(Esiehdot!E$4=IFERROR(VLOOKUP(E376,Valintalistat!D$2:H$7,5,0),99),1,0)</f>
        <v>0</v>
      </c>
      <c r="AD376" s="44">
        <f>IF(Esiehdot!E$5=IFERROR(VLOOKUP(F376,Valintalistat!E$2:H$5,4,0),99),1,0)</f>
        <v>0</v>
      </c>
      <c r="AE376" s="44">
        <f>IF(Esiehdot!E$6=IFERROR(VLOOKUP(G376,Valintalistat!F$2:H$5,3,0),99),1,0)</f>
        <v>0</v>
      </c>
      <c r="AF376" s="44">
        <f>IF(Esiehdot!E$8=IFERROR(VLOOKUP(H376,Valintalistat!G$2:H$3,2,0),98),1,0)</f>
        <v>0</v>
      </c>
      <c r="AG376" s="43">
        <f t="shared" si="48"/>
        <v>0</v>
      </c>
      <c r="AH376" s="43">
        <f>IFERROR(HLOOKUP(Esiehdot!$B$17,Käyttötapauskriteerit!G$1:P223,376,0),1)</f>
        <v>1</v>
      </c>
      <c r="AI376" s="43">
        <f t="shared" si="49"/>
        <v>0</v>
      </c>
      <c r="AJ376" s="43">
        <f t="shared" si="50"/>
        <v>0</v>
      </c>
      <c r="AK376" s="43">
        <f t="shared" si="51"/>
        <v>0</v>
      </c>
      <c r="AL376" s="43">
        <f t="shared" si="52"/>
        <v>0</v>
      </c>
      <c r="AM376" s="43"/>
      <c r="AN376" s="45" t="str">
        <f t="shared" si="53"/>
        <v/>
      </c>
    </row>
    <row r="377" spans="1:40" ht="15.6">
      <c r="A377" s="5"/>
      <c r="B377" s="5"/>
      <c r="E377" s="17"/>
      <c r="F377" s="17"/>
      <c r="G377" s="17"/>
      <c r="H377" s="17"/>
      <c r="I377" s="17"/>
      <c r="J377" s="17"/>
      <c r="K377" s="17"/>
      <c r="L377" s="32"/>
      <c r="M377" s="61"/>
      <c r="N377" s="23"/>
      <c r="O377" s="23"/>
      <c r="P377" s="9"/>
      <c r="Q377" s="9"/>
      <c r="R377" s="9"/>
      <c r="S377" s="9"/>
      <c r="U377" s="42" t="str">
        <f t="shared" si="45"/>
        <v>, L:, E:, S:, TS:</v>
      </c>
      <c r="V377" s="42" t="str">
        <f t="shared" si="46"/>
        <v/>
      </c>
      <c r="W377" s="43">
        <f>IFERROR(VLOOKUP(A377,Esiehdot!A$11:D$15,4,0), 0)</f>
        <v>0</v>
      </c>
      <c r="X377" s="44">
        <f>IF(Esiehdot!D$4&gt;=IFERROR(VLOOKUP(E377,Valintalistat!D$2:H$7,5,0), 99),1,0)</f>
        <v>0</v>
      </c>
      <c r="Y377" s="44">
        <f>IF(Esiehdot!D$5&gt;=IFERROR(VLOOKUP(F377,Valintalistat!E$2:H$5,4,0), 99),1,0)</f>
        <v>0</v>
      </c>
      <c r="Z377" s="44">
        <f>IF(Esiehdot!D$6&gt;=IFERROR(VLOOKUP(G377,Valintalistat!F$2:H$5,3,0),99),1,0)</f>
        <v>0</v>
      </c>
      <c r="AA377" s="44">
        <f>IF(Esiehdot!D$8&gt;=IFERROR(VLOOKUP(H377,Valintalistat!G$2:H$5,2,0),99),1,0)</f>
        <v>0</v>
      </c>
      <c r="AB377" s="43">
        <f t="shared" si="47"/>
        <v>0</v>
      </c>
      <c r="AC377" s="44">
        <f>IF(Esiehdot!E$4=IFERROR(VLOOKUP(E377,Valintalistat!D$2:H$7,5,0),99),1,0)</f>
        <v>0</v>
      </c>
      <c r="AD377" s="44">
        <f>IF(Esiehdot!E$5=IFERROR(VLOOKUP(F377,Valintalistat!E$2:H$5,4,0),99),1,0)</f>
        <v>0</v>
      </c>
      <c r="AE377" s="44">
        <f>IF(Esiehdot!E$6=IFERROR(VLOOKUP(G377,Valintalistat!F$2:H$5,3,0),99),1,0)</f>
        <v>0</v>
      </c>
      <c r="AF377" s="44">
        <f>IF(Esiehdot!E$8=IFERROR(VLOOKUP(H377,Valintalistat!G$2:H$3,2,0),98),1,0)</f>
        <v>0</v>
      </c>
      <c r="AG377" s="43">
        <f t="shared" si="48"/>
        <v>0</v>
      </c>
      <c r="AH377" s="43">
        <f>IFERROR(HLOOKUP(Esiehdot!$B$17,Käyttötapauskriteerit!G$1:P223,377,0),1)</f>
        <v>1</v>
      </c>
      <c r="AI377" s="43">
        <f t="shared" si="49"/>
        <v>0</v>
      </c>
      <c r="AJ377" s="43">
        <f t="shared" si="50"/>
        <v>0</v>
      </c>
      <c r="AK377" s="43">
        <f t="shared" si="51"/>
        <v>0</v>
      </c>
      <c r="AL377" s="43">
        <f t="shared" si="52"/>
        <v>0</v>
      </c>
      <c r="AM377" s="43"/>
      <c r="AN377" s="45" t="str">
        <f t="shared" si="53"/>
        <v/>
      </c>
    </row>
    <row r="378" spans="1:40" ht="15.6">
      <c r="A378" s="5"/>
      <c r="B378" s="5"/>
      <c r="E378" s="17"/>
      <c r="F378" s="17"/>
      <c r="G378" s="17"/>
      <c r="H378" s="17"/>
      <c r="I378" s="17"/>
      <c r="J378" s="17"/>
      <c r="K378" s="17"/>
      <c r="L378" s="32"/>
      <c r="M378" s="61"/>
      <c r="N378" s="23"/>
      <c r="O378" s="23"/>
      <c r="P378" s="9"/>
      <c r="Q378" s="9"/>
      <c r="R378" s="9"/>
      <c r="S378" s="9"/>
      <c r="U378" s="42" t="str">
        <f t="shared" si="45"/>
        <v>, L:, E:, S:, TS:</v>
      </c>
      <c r="V378" s="42" t="str">
        <f t="shared" si="46"/>
        <v/>
      </c>
      <c r="W378" s="43">
        <f>IFERROR(VLOOKUP(A378,Esiehdot!A$11:D$15,4,0), 0)</f>
        <v>0</v>
      </c>
      <c r="X378" s="44">
        <f>IF(Esiehdot!D$4&gt;=IFERROR(VLOOKUP(E378,Valintalistat!D$2:H$7,5,0), 99),1,0)</f>
        <v>0</v>
      </c>
      <c r="Y378" s="44">
        <f>IF(Esiehdot!D$5&gt;=IFERROR(VLOOKUP(F378,Valintalistat!E$2:H$5,4,0), 99),1,0)</f>
        <v>0</v>
      </c>
      <c r="Z378" s="44">
        <f>IF(Esiehdot!D$6&gt;=IFERROR(VLOOKUP(G378,Valintalistat!F$2:H$5,3,0),99),1,0)</f>
        <v>0</v>
      </c>
      <c r="AA378" s="44">
        <f>IF(Esiehdot!D$8&gt;=IFERROR(VLOOKUP(H378,Valintalistat!G$2:H$5,2,0),99),1,0)</f>
        <v>0</v>
      </c>
      <c r="AB378" s="43">
        <f t="shared" si="47"/>
        <v>0</v>
      </c>
      <c r="AC378" s="44">
        <f>IF(Esiehdot!E$4=IFERROR(VLOOKUP(E378,Valintalistat!D$2:H$7,5,0),99),1,0)</f>
        <v>0</v>
      </c>
      <c r="AD378" s="44">
        <f>IF(Esiehdot!E$5=IFERROR(VLOOKUP(F378,Valintalistat!E$2:H$5,4,0),99),1,0)</f>
        <v>0</v>
      </c>
      <c r="AE378" s="44">
        <f>IF(Esiehdot!E$6=IFERROR(VLOOKUP(G378,Valintalistat!F$2:H$5,3,0),99),1,0)</f>
        <v>0</v>
      </c>
      <c r="AF378" s="44">
        <f>IF(Esiehdot!E$8=IFERROR(VLOOKUP(H378,Valintalistat!G$2:H$3,2,0),98),1,0)</f>
        <v>0</v>
      </c>
      <c r="AG378" s="43">
        <f t="shared" si="48"/>
        <v>0</v>
      </c>
      <c r="AH378" s="43">
        <f>IFERROR(HLOOKUP(Esiehdot!$B$17,Käyttötapauskriteerit!G$1:P223,378,0),1)</f>
        <v>1</v>
      </c>
      <c r="AI378" s="43">
        <f t="shared" si="49"/>
        <v>0</v>
      </c>
      <c r="AJ378" s="43">
        <f t="shared" si="50"/>
        <v>0</v>
      </c>
      <c r="AK378" s="43">
        <f t="shared" si="51"/>
        <v>0</v>
      </c>
      <c r="AL378" s="43">
        <f t="shared" si="52"/>
        <v>0</v>
      </c>
      <c r="AM378" s="43"/>
      <c r="AN378" s="45" t="str">
        <f t="shared" si="53"/>
        <v/>
      </c>
    </row>
    <row r="379" spans="1:40" ht="15.6">
      <c r="A379" s="5"/>
      <c r="B379" s="5"/>
      <c r="E379" s="17"/>
      <c r="F379" s="17"/>
      <c r="G379" s="17"/>
      <c r="H379" s="17"/>
      <c r="I379" s="17"/>
      <c r="J379" s="17"/>
      <c r="K379" s="17"/>
      <c r="L379" s="32"/>
      <c r="M379" s="61"/>
      <c r="N379" s="23"/>
      <c r="O379" s="23"/>
      <c r="P379" s="9"/>
      <c r="Q379" s="9"/>
      <c r="R379" s="9"/>
      <c r="S379" s="9"/>
      <c r="U379" s="42" t="str">
        <f t="shared" si="45"/>
        <v>, L:, E:, S:, TS:</v>
      </c>
      <c r="V379" s="42" t="str">
        <f t="shared" si="46"/>
        <v/>
      </c>
      <c r="W379" s="43">
        <f>IFERROR(VLOOKUP(A379,Esiehdot!A$11:D$15,4,0), 0)</f>
        <v>0</v>
      </c>
      <c r="X379" s="44">
        <f>IF(Esiehdot!D$4&gt;=IFERROR(VLOOKUP(E379,Valintalistat!D$2:H$7,5,0), 99),1,0)</f>
        <v>0</v>
      </c>
      <c r="Y379" s="44">
        <f>IF(Esiehdot!D$5&gt;=IFERROR(VLOOKUP(F379,Valintalistat!E$2:H$5,4,0), 99),1,0)</f>
        <v>0</v>
      </c>
      <c r="Z379" s="44">
        <f>IF(Esiehdot!D$6&gt;=IFERROR(VLOOKUP(G379,Valintalistat!F$2:H$5,3,0),99),1,0)</f>
        <v>0</v>
      </c>
      <c r="AA379" s="44">
        <f>IF(Esiehdot!D$8&gt;=IFERROR(VLOOKUP(H379,Valintalistat!G$2:H$5,2,0),99),1,0)</f>
        <v>0</v>
      </c>
      <c r="AB379" s="43">
        <f t="shared" si="47"/>
        <v>0</v>
      </c>
      <c r="AC379" s="44">
        <f>IF(Esiehdot!E$4=IFERROR(VLOOKUP(E379,Valintalistat!D$2:H$7,5,0),99),1,0)</f>
        <v>0</v>
      </c>
      <c r="AD379" s="44">
        <f>IF(Esiehdot!E$5=IFERROR(VLOOKUP(F379,Valintalistat!E$2:H$5,4,0),99),1,0)</f>
        <v>0</v>
      </c>
      <c r="AE379" s="44">
        <f>IF(Esiehdot!E$6=IFERROR(VLOOKUP(G379,Valintalistat!F$2:H$5,3,0),99),1,0)</f>
        <v>0</v>
      </c>
      <c r="AF379" s="44">
        <f>IF(Esiehdot!E$8=IFERROR(VLOOKUP(H379,Valintalistat!G$2:H$3,2,0),98),1,0)</f>
        <v>0</v>
      </c>
      <c r="AG379" s="43">
        <f t="shared" si="48"/>
        <v>0</v>
      </c>
      <c r="AH379" s="43">
        <f>IFERROR(HLOOKUP(Esiehdot!$B$17,Käyttötapauskriteerit!G$1:P223,379,0),1)</f>
        <v>1</v>
      </c>
      <c r="AI379" s="43">
        <f t="shared" si="49"/>
        <v>0</v>
      </c>
      <c r="AJ379" s="43">
        <f t="shared" si="50"/>
        <v>0</v>
      </c>
      <c r="AK379" s="43">
        <f t="shared" si="51"/>
        <v>0</v>
      </c>
      <c r="AL379" s="43">
        <f t="shared" si="52"/>
        <v>0</v>
      </c>
      <c r="AM379" s="43"/>
      <c r="AN379" s="45" t="str">
        <f t="shared" si="53"/>
        <v/>
      </c>
    </row>
    <row r="380" spans="1:40" ht="15.6">
      <c r="A380" s="5"/>
      <c r="B380" s="5"/>
      <c r="E380" s="17"/>
      <c r="F380" s="17"/>
      <c r="G380" s="17"/>
      <c r="H380" s="17"/>
      <c r="I380" s="17"/>
      <c r="J380" s="17"/>
      <c r="K380" s="17"/>
      <c r="L380" s="32"/>
      <c r="M380" s="61"/>
      <c r="N380" s="23"/>
      <c r="O380" s="23"/>
      <c r="P380" s="9"/>
      <c r="Q380" s="9"/>
      <c r="R380" s="9"/>
      <c r="S380" s="9"/>
      <c r="U380" s="42" t="str">
        <f t="shared" si="45"/>
        <v>, L:, E:, S:, TS:</v>
      </c>
      <c r="V380" s="42" t="str">
        <f t="shared" si="46"/>
        <v/>
      </c>
      <c r="W380" s="43">
        <f>IFERROR(VLOOKUP(A380,Esiehdot!A$11:D$15,4,0), 0)</f>
        <v>0</v>
      </c>
      <c r="X380" s="44">
        <f>IF(Esiehdot!D$4&gt;=IFERROR(VLOOKUP(E380,Valintalistat!D$2:H$7,5,0), 99),1,0)</f>
        <v>0</v>
      </c>
      <c r="Y380" s="44">
        <f>IF(Esiehdot!D$5&gt;=IFERROR(VLOOKUP(F380,Valintalistat!E$2:H$5,4,0), 99),1,0)</f>
        <v>0</v>
      </c>
      <c r="Z380" s="44">
        <f>IF(Esiehdot!D$6&gt;=IFERROR(VLOOKUP(G380,Valintalistat!F$2:H$5,3,0),99),1,0)</f>
        <v>0</v>
      </c>
      <c r="AA380" s="44">
        <f>IF(Esiehdot!D$8&gt;=IFERROR(VLOOKUP(H380,Valintalistat!G$2:H$5,2,0),99),1,0)</f>
        <v>0</v>
      </c>
      <c r="AB380" s="43">
        <f t="shared" si="47"/>
        <v>0</v>
      </c>
      <c r="AC380" s="44">
        <f>IF(Esiehdot!E$4=IFERROR(VLOOKUP(E380,Valintalistat!D$2:H$7,5,0),99),1,0)</f>
        <v>0</v>
      </c>
      <c r="AD380" s="44">
        <f>IF(Esiehdot!E$5=IFERROR(VLOOKUP(F380,Valintalistat!E$2:H$5,4,0),99),1,0)</f>
        <v>0</v>
      </c>
      <c r="AE380" s="44">
        <f>IF(Esiehdot!E$6=IFERROR(VLOOKUP(G380,Valintalistat!F$2:H$5,3,0),99),1,0)</f>
        <v>0</v>
      </c>
      <c r="AF380" s="44">
        <f>IF(Esiehdot!E$8=IFERROR(VLOOKUP(H380,Valintalistat!G$2:H$3,2,0),98),1,0)</f>
        <v>0</v>
      </c>
      <c r="AG380" s="43">
        <f t="shared" si="48"/>
        <v>0</v>
      </c>
      <c r="AH380" s="43">
        <f>IFERROR(HLOOKUP(Esiehdot!$B$17,Käyttötapauskriteerit!G$1:P223,380,0),1)</f>
        <v>1</v>
      </c>
      <c r="AI380" s="43">
        <f t="shared" si="49"/>
        <v>0</v>
      </c>
      <c r="AJ380" s="43">
        <f t="shared" si="50"/>
        <v>0</v>
      </c>
      <c r="AK380" s="43">
        <f t="shared" si="51"/>
        <v>0</v>
      </c>
      <c r="AL380" s="43">
        <f t="shared" si="52"/>
        <v>0</v>
      </c>
      <c r="AM380" s="43"/>
      <c r="AN380" s="45" t="str">
        <f t="shared" si="53"/>
        <v/>
      </c>
    </row>
    <row r="381" spans="1:40" ht="15.6">
      <c r="A381" s="5"/>
      <c r="B381" s="5"/>
      <c r="E381" s="17"/>
      <c r="F381" s="17"/>
      <c r="G381" s="17"/>
      <c r="H381" s="17"/>
      <c r="I381" s="17"/>
      <c r="J381" s="17"/>
      <c r="K381" s="17"/>
      <c r="L381" s="32"/>
      <c r="M381" s="61"/>
      <c r="N381" s="23"/>
      <c r="O381" s="23"/>
      <c r="P381" s="9"/>
      <c r="Q381" s="9"/>
      <c r="R381" s="9"/>
      <c r="S381" s="9"/>
      <c r="U381" s="42" t="str">
        <f t="shared" si="45"/>
        <v>, L:, E:, S:, TS:</v>
      </c>
      <c r="V381" s="42" t="str">
        <f t="shared" si="46"/>
        <v/>
      </c>
      <c r="W381" s="43">
        <f>IFERROR(VLOOKUP(A381,Esiehdot!A$11:D$15,4,0), 0)</f>
        <v>0</v>
      </c>
      <c r="X381" s="44">
        <f>IF(Esiehdot!D$4&gt;=IFERROR(VLOOKUP(E381,Valintalistat!D$2:H$7,5,0), 99),1,0)</f>
        <v>0</v>
      </c>
      <c r="Y381" s="44">
        <f>IF(Esiehdot!D$5&gt;=IFERROR(VLOOKUP(F381,Valintalistat!E$2:H$5,4,0), 99),1,0)</f>
        <v>0</v>
      </c>
      <c r="Z381" s="44">
        <f>IF(Esiehdot!D$6&gt;=IFERROR(VLOOKUP(G381,Valintalistat!F$2:H$5,3,0),99),1,0)</f>
        <v>0</v>
      </c>
      <c r="AA381" s="44">
        <f>IF(Esiehdot!D$8&gt;=IFERROR(VLOOKUP(H381,Valintalistat!G$2:H$5,2,0),99),1,0)</f>
        <v>0</v>
      </c>
      <c r="AB381" s="43">
        <f t="shared" si="47"/>
        <v>0</v>
      </c>
      <c r="AC381" s="44">
        <f>IF(Esiehdot!E$4=IFERROR(VLOOKUP(E381,Valintalistat!D$2:H$7,5,0),99),1,0)</f>
        <v>0</v>
      </c>
      <c r="AD381" s="44">
        <f>IF(Esiehdot!E$5=IFERROR(VLOOKUP(F381,Valintalistat!E$2:H$5,4,0),99),1,0)</f>
        <v>0</v>
      </c>
      <c r="AE381" s="44">
        <f>IF(Esiehdot!E$6=IFERROR(VLOOKUP(G381,Valintalistat!F$2:H$5,3,0),99),1,0)</f>
        <v>0</v>
      </c>
      <c r="AF381" s="44">
        <f>IF(Esiehdot!E$8=IFERROR(VLOOKUP(H381,Valintalistat!G$2:H$3,2,0),98),1,0)</f>
        <v>0</v>
      </c>
      <c r="AG381" s="43">
        <f t="shared" si="48"/>
        <v>0</v>
      </c>
      <c r="AH381" s="43">
        <f>IFERROR(HLOOKUP(Esiehdot!$B$17,Käyttötapauskriteerit!G$1:P223,381,0),1)</f>
        <v>1</v>
      </c>
      <c r="AI381" s="43">
        <f t="shared" si="49"/>
        <v>0</v>
      </c>
      <c r="AJ381" s="43">
        <f t="shared" si="50"/>
        <v>0</v>
      </c>
      <c r="AK381" s="43">
        <f t="shared" si="51"/>
        <v>0</v>
      </c>
      <c r="AL381" s="43">
        <f t="shared" si="52"/>
        <v>0</v>
      </c>
      <c r="AM381" s="43"/>
      <c r="AN381" s="45" t="str">
        <f t="shared" si="53"/>
        <v/>
      </c>
    </row>
    <row r="382" spans="1:40" ht="15.6">
      <c r="A382" s="5"/>
      <c r="B382" s="5"/>
      <c r="E382" s="17"/>
      <c r="F382" s="17"/>
      <c r="G382" s="17"/>
      <c r="H382" s="17"/>
      <c r="I382" s="17"/>
      <c r="J382" s="17"/>
      <c r="K382" s="17"/>
      <c r="L382" s="32"/>
      <c r="M382" s="61"/>
      <c r="N382" s="23"/>
      <c r="O382" s="23"/>
      <c r="P382" s="9"/>
      <c r="Q382" s="9"/>
      <c r="R382" s="9"/>
      <c r="S382" s="9"/>
      <c r="U382" s="42" t="str">
        <f t="shared" si="45"/>
        <v>, L:, E:, S:, TS:</v>
      </c>
      <c r="V382" s="42" t="str">
        <f t="shared" si="46"/>
        <v/>
      </c>
      <c r="W382" s="43">
        <f>IFERROR(VLOOKUP(A382,Esiehdot!A$11:D$15,4,0), 0)</f>
        <v>0</v>
      </c>
      <c r="X382" s="44">
        <f>IF(Esiehdot!D$4&gt;=IFERROR(VLOOKUP(E382,Valintalistat!D$2:H$7,5,0), 99),1,0)</f>
        <v>0</v>
      </c>
      <c r="Y382" s="44">
        <f>IF(Esiehdot!D$5&gt;=IFERROR(VLOOKUP(F382,Valintalistat!E$2:H$5,4,0), 99),1,0)</f>
        <v>0</v>
      </c>
      <c r="Z382" s="44">
        <f>IF(Esiehdot!D$6&gt;=IFERROR(VLOOKUP(G382,Valintalistat!F$2:H$5,3,0),99),1,0)</f>
        <v>0</v>
      </c>
      <c r="AA382" s="44">
        <f>IF(Esiehdot!D$8&gt;=IFERROR(VLOOKUP(H382,Valintalistat!G$2:H$5,2,0),99),1,0)</f>
        <v>0</v>
      </c>
      <c r="AB382" s="43">
        <f t="shared" si="47"/>
        <v>0</v>
      </c>
      <c r="AC382" s="44">
        <f>IF(Esiehdot!E$4=IFERROR(VLOOKUP(E382,Valintalistat!D$2:H$7,5,0),99),1,0)</f>
        <v>0</v>
      </c>
      <c r="AD382" s="44">
        <f>IF(Esiehdot!E$5=IFERROR(VLOOKUP(F382,Valintalistat!E$2:H$5,4,0),99),1,0)</f>
        <v>0</v>
      </c>
      <c r="AE382" s="44">
        <f>IF(Esiehdot!E$6=IFERROR(VLOOKUP(G382,Valintalistat!F$2:H$5,3,0),99),1,0)</f>
        <v>0</v>
      </c>
      <c r="AF382" s="44">
        <f>IF(Esiehdot!E$8=IFERROR(VLOOKUP(H382,Valintalistat!G$2:H$3,2,0),98),1,0)</f>
        <v>0</v>
      </c>
      <c r="AG382" s="43">
        <f t="shared" si="48"/>
        <v>0</v>
      </c>
      <c r="AH382" s="43">
        <f>IFERROR(HLOOKUP(Esiehdot!$B$17,Käyttötapauskriteerit!G$1:P223,382,0),1)</f>
        <v>1</v>
      </c>
      <c r="AI382" s="43">
        <f t="shared" si="49"/>
        <v>0</v>
      </c>
      <c r="AJ382" s="43">
        <f t="shared" si="50"/>
        <v>0</v>
      </c>
      <c r="AK382" s="43">
        <f t="shared" si="51"/>
        <v>0</v>
      </c>
      <c r="AL382" s="43">
        <f t="shared" si="52"/>
        <v>0</v>
      </c>
      <c r="AM382" s="43"/>
      <c r="AN382" s="45" t="str">
        <f t="shared" si="53"/>
        <v/>
      </c>
    </row>
    <row r="383" spans="1:40" ht="15.6">
      <c r="A383" s="5"/>
      <c r="B383" s="5"/>
      <c r="E383" s="17"/>
      <c r="F383" s="17"/>
      <c r="G383" s="17"/>
      <c r="H383" s="17"/>
      <c r="I383" s="17"/>
      <c r="J383" s="17"/>
      <c r="K383" s="17"/>
      <c r="L383" s="32"/>
      <c r="M383" s="61"/>
      <c r="N383" s="23"/>
      <c r="O383" s="23"/>
      <c r="P383" s="9"/>
      <c r="Q383" s="9"/>
      <c r="R383" s="9"/>
      <c r="S383" s="9"/>
      <c r="U383" s="42" t="str">
        <f t="shared" si="45"/>
        <v>, L:, E:, S:, TS:</v>
      </c>
      <c r="V383" s="42" t="str">
        <f t="shared" si="46"/>
        <v/>
      </c>
      <c r="W383" s="43">
        <f>IFERROR(VLOOKUP(A383,Esiehdot!A$11:D$15,4,0), 0)</f>
        <v>0</v>
      </c>
      <c r="X383" s="44">
        <f>IF(Esiehdot!D$4&gt;=IFERROR(VLOOKUP(E383,Valintalistat!D$2:H$7,5,0), 99),1,0)</f>
        <v>0</v>
      </c>
      <c r="Y383" s="44">
        <f>IF(Esiehdot!D$5&gt;=IFERROR(VLOOKUP(F383,Valintalistat!E$2:H$5,4,0), 99),1,0)</f>
        <v>0</v>
      </c>
      <c r="Z383" s="44">
        <f>IF(Esiehdot!D$6&gt;=IFERROR(VLOOKUP(G383,Valintalistat!F$2:H$5,3,0),99),1,0)</f>
        <v>0</v>
      </c>
      <c r="AA383" s="44">
        <f>IF(Esiehdot!D$8&gt;=IFERROR(VLOOKUP(H383,Valintalistat!G$2:H$5,2,0),99),1,0)</f>
        <v>0</v>
      </c>
      <c r="AB383" s="43">
        <f t="shared" si="47"/>
        <v>0</v>
      </c>
      <c r="AC383" s="44">
        <f>IF(Esiehdot!E$4=IFERROR(VLOOKUP(E383,Valintalistat!D$2:H$7,5,0),99),1,0)</f>
        <v>0</v>
      </c>
      <c r="AD383" s="44">
        <f>IF(Esiehdot!E$5=IFERROR(VLOOKUP(F383,Valintalistat!E$2:H$5,4,0),99),1,0)</f>
        <v>0</v>
      </c>
      <c r="AE383" s="44">
        <f>IF(Esiehdot!E$6=IFERROR(VLOOKUP(G383,Valintalistat!F$2:H$5,3,0),99),1,0)</f>
        <v>0</v>
      </c>
      <c r="AF383" s="44">
        <f>IF(Esiehdot!E$8=IFERROR(VLOOKUP(H383,Valintalistat!G$2:H$3,2,0),98),1,0)</f>
        <v>0</v>
      </c>
      <c r="AG383" s="43">
        <f t="shared" si="48"/>
        <v>0</v>
      </c>
      <c r="AH383" s="43">
        <f>IFERROR(HLOOKUP(Esiehdot!$B$17,Käyttötapauskriteerit!G$1:P223,383,0),1)</f>
        <v>1</v>
      </c>
      <c r="AI383" s="43">
        <f t="shared" si="49"/>
        <v>0</v>
      </c>
      <c r="AJ383" s="43">
        <f t="shared" si="50"/>
        <v>0</v>
      </c>
      <c r="AK383" s="43">
        <f t="shared" si="51"/>
        <v>0</v>
      </c>
      <c r="AL383" s="43">
        <f t="shared" si="52"/>
        <v>0</v>
      </c>
      <c r="AM383" s="43"/>
      <c r="AN383" s="45" t="str">
        <f t="shared" si="53"/>
        <v/>
      </c>
    </row>
    <row r="384" spans="1:40" ht="15.6">
      <c r="A384" s="5"/>
      <c r="B384" s="5"/>
      <c r="E384" s="17"/>
      <c r="F384" s="17"/>
      <c r="G384" s="17"/>
      <c r="H384" s="17"/>
      <c r="I384" s="17"/>
      <c r="J384" s="17"/>
      <c r="K384" s="17"/>
      <c r="L384" s="32"/>
      <c r="M384" s="61"/>
      <c r="N384" s="23"/>
      <c r="O384" s="23"/>
      <c r="P384" s="9"/>
      <c r="Q384" s="9"/>
      <c r="R384" s="9"/>
      <c r="S384" s="9"/>
      <c r="U384" s="42" t="str">
        <f t="shared" si="45"/>
        <v>, L:, E:, S:, TS:</v>
      </c>
      <c r="V384" s="42" t="str">
        <f t="shared" si="46"/>
        <v/>
      </c>
      <c r="W384" s="43">
        <f>IFERROR(VLOOKUP(A384,Esiehdot!A$11:D$15,4,0), 0)</f>
        <v>0</v>
      </c>
      <c r="X384" s="44">
        <f>IF(Esiehdot!D$4&gt;=IFERROR(VLOOKUP(E384,Valintalistat!D$2:H$7,5,0), 99),1,0)</f>
        <v>0</v>
      </c>
      <c r="Y384" s="44">
        <f>IF(Esiehdot!D$5&gt;=IFERROR(VLOOKUP(F384,Valintalistat!E$2:H$5,4,0), 99),1,0)</f>
        <v>0</v>
      </c>
      <c r="Z384" s="44">
        <f>IF(Esiehdot!D$6&gt;=IFERROR(VLOOKUP(G384,Valintalistat!F$2:H$5,3,0),99),1,0)</f>
        <v>0</v>
      </c>
      <c r="AA384" s="44">
        <f>IF(Esiehdot!D$8&gt;=IFERROR(VLOOKUP(H384,Valintalistat!G$2:H$5,2,0),99),1,0)</f>
        <v>0</v>
      </c>
      <c r="AB384" s="43">
        <f t="shared" si="47"/>
        <v>0</v>
      </c>
      <c r="AC384" s="44">
        <f>IF(Esiehdot!E$4=IFERROR(VLOOKUP(E384,Valintalistat!D$2:H$7,5,0),99),1,0)</f>
        <v>0</v>
      </c>
      <c r="AD384" s="44">
        <f>IF(Esiehdot!E$5=IFERROR(VLOOKUP(F384,Valintalistat!E$2:H$5,4,0),99),1,0)</f>
        <v>0</v>
      </c>
      <c r="AE384" s="44">
        <f>IF(Esiehdot!E$6=IFERROR(VLOOKUP(G384,Valintalistat!F$2:H$5,3,0),99),1,0)</f>
        <v>0</v>
      </c>
      <c r="AF384" s="44">
        <f>IF(Esiehdot!E$8=IFERROR(VLOOKUP(H384,Valintalistat!G$2:H$3,2,0),98),1,0)</f>
        <v>0</v>
      </c>
      <c r="AG384" s="43">
        <f t="shared" si="48"/>
        <v>0</v>
      </c>
      <c r="AH384" s="43">
        <f>IFERROR(HLOOKUP(Esiehdot!$B$17,Käyttötapauskriteerit!G$1:P223,384,0),1)</f>
        <v>1</v>
      </c>
      <c r="AI384" s="43">
        <f t="shared" si="49"/>
        <v>0</v>
      </c>
      <c r="AJ384" s="43">
        <f t="shared" si="50"/>
        <v>0</v>
      </c>
      <c r="AK384" s="43">
        <f t="shared" si="51"/>
        <v>0</v>
      </c>
      <c r="AL384" s="43">
        <f t="shared" si="52"/>
        <v>0</v>
      </c>
      <c r="AM384" s="43"/>
      <c r="AN384" s="45" t="str">
        <f t="shared" si="53"/>
        <v/>
      </c>
    </row>
    <row r="385" spans="1:40" ht="15.6">
      <c r="A385" s="5"/>
      <c r="B385" s="5"/>
      <c r="E385" s="17"/>
      <c r="F385" s="17"/>
      <c r="G385" s="17"/>
      <c r="H385" s="17"/>
      <c r="I385" s="17"/>
      <c r="J385" s="17"/>
      <c r="K385" s="17"/>
      <c r="L385" s="32"/>
      <c r="M385" s="61"/>
      <c r="N385" s="23"/>
      <c r="O385" s="23"/>
      <c r="P385" s="9"/>
      <c r="Q385" s="9"/>
      <c r="R385" s="9"/>
      <c r="S385" s="9"/>
      <c r="U385" s="42" t="str">
        <f t="shared" si="45"/>
        <v>, L:, E:, S:, TS:</v>
      </c>
      <c r="V385" s="42" t="str">
        <f t="shared" si="46"/>
        <v/>
      </c>
      <c r="W385" s="43">
        <f>IFERROR(VLOOKUP(A385,Esiehdot!A$11:D$15,4,0), 0)</f>
        <v>0</v>
      </c>
      <c r="X385" s="44">
        <f>IF(Esiehdot!D$4&gt;=IFERROR(VLOOKUP(E385,Valintalistat!D$2:H$7,5,0), 99),1,0)</f>
        <v>0</v>
      </c>
      <c r="Y385" s="44">
        <f>IF(Esiehdot!D$5&gt;=IFERROR(VLOOKUP(F385,Valintalistat!E$2:H$5,4,0), 99),1,0)</f>
        <v>0</v>
      </c>
      <c r="Z385" s="44">
        <f>IF(Esiehdot!D$6&gt;=IFERROR(VLOOKUP(G385,Valintalistat!F$2:H$5,3,0),99),1,0)</f>
        <v>0</v>
      </c>
      <c r="AA385" s="44">
        <f>IF(Esiehdot!D$8&gt;=IFERROR(VLOOKUP(H385,Valintalistat!G$2:H$5,2,0),99),1,0)</f>
        <v>0</v>
      </c>
      <c r="AB385" s="43">
        <f t="shared" si="47"/>
        <v>0</v>
      </c>
      <c r="AC385" s="44">
        <f>IF(Esiehdot!E$4=IFERROR(VLOOKUP(E385,Valintalistat!D$2:H$7,5,0),99),1,0)</f>
        <v>0</v>
      </c>
      <c r="AD385" s="44">
        <f>IF(Esiehdot!E$5=IFERROR(VLOOKUP(F385,Valintalistat!E$2:H$5,4,0),99),1,0)</f>
        <v>0</v>
      </c>
      <c r="AE385" s="44">
        <f>IF(Esiehdot!E$6=IFERROR(VLOOKUP(G385,Valintalistat!F$2:H$5,3,0),99),1,0)</f>
        <v>0</v>
      </c>
      <c r="AF385" s="44">
        <f>IF(Esiehdot!E$8=IFERROR(VLOOKUP(H385,Valintalistat!G$2:H$3,2,0),98),1,0)</f>
        <v>0</v>
      </c>
      <c r="AG385" s="43">
        <f t="shared" si="48"/>
        <v>0</v>
      </c>
      <c r="AH385" s="43">
        <f>IFERROR(HLOOKUP(Esiehdot!$B$17,Käyttötapauskriteerit!G$1:P223,385,0),1)</f>
        <v>1</v>
      </c>
      <c r="AI385" s="43">
        <f t="shared" si="49"/>
        <v>0</v>
      </c>
      <c r="AJ385" s="43">
        <f t="shared" si="50"/>
        <v>0</v>
      </c>
      <c r="AK385" s="43">
        <f t="shared" si="51"/>
        <v>0</v>
      </c>
      <c r="AL385" s="43">
        <f t="shared" si="52"/>
        <v>0</v>
      </c>
      <c r="AM385" s="43"/>
      <c r="AN385" s="45" t="str">
        <f t="shared" si="53"/>
        <v/>
      </c>
    </row>
    <row r="386" spans="1:40" ht="15.6">
      <c r="A386" s="5"/>
      <c r="B386" s="5"/>
      <c r="E386" s="17"/>
      <c r="F386" s="17"/>
      <c r="G386" s="17"/>
      <c r="H386" s="17"/>
      <c r="I386" s="17"/>
      <c r="J386" s="17"/>
      <c r="K386" s="17"/>
      <c r="L386" s="32"/>
      <c r="M386" s="61"/>
      <c r="N386" s="23"/>
      <c r="O386" s="23"/>
      <c r="P386" s="9"/>
      <c r="Q386" s="9"/>
      <c r="R386" s="9"/>
      <c r="S386" s="9"/>
      <c r="U386" s="42" t="str">
        <f t="shared" si="45"/>
        <v>, L:, E:, S:, TS:</v>
      </c>
      <c r="V386" s="42" t="str">
        <f t="shared" si="46"/>
        <v/>
      </c>
      <c r="W386" s="43">
        <f>IFERROR(VLOOKUP(A386,Esiehdot!A$11:D$15,4,0), 0)</f>
        <v>0</v>
      </c>
      <c r="X386" s="44">
        <f>IF(Esiehdot!D$4&gt;=IFERROR(VLOOKUP(E386,Valintalistat!D$2:H$7,5,0), 99),1,0)</f>
        <v>0</v>
      </c>
      <c r="Y386" s="44">
        <f>IF(Esiehdot!D$5&gt;=IFERROR(VLOOKUP(F386,Valintalistat!E$2:H$5,4,0), 99),1,0)</f>
        <v>0</v>
      </c>
      <c r="Z386" s="44">
        <f>IF(Esiehdot!D$6&gt;=IFERROR(VLOOKUP(G386,Valintalistat!F$2:H$5,3,0),99),1,0)</f>
        <v>0</v>
      </c>
      <c r="AA386" s="44">
        <f>IF(Esiehdot!D$8&gt;=IFERROR(VLOOKUP(H386,Valintalistat!G$2:H$5,2,0),99),1,0)</f>
        <v>0</v>
      </c>
      <c r="AB386" s="43">
        <f t="shared" si="47"/>
        <v>0</v>
      </c>
      <c r="AC386" s="44">
        <f>IF(Esiehdot!E$4=IFERROR(VLOOKUP(E386,Valintalistat!D$2:H$7,5,0),99),1,0)</f>
        <v>0</v>
      </c>
      <c r="AD386" s="44">
        <f>IF(Esiehdot!E$5=IFERROR(VLOOKUP(F386,Valintalistat!E$2:H$5,4,0),99),1,0)</f>
        <v>0</v>
      </c>
      <c r="AE386" s="44">
        <f>IF(Esiehdot!E$6=IFERROR(VLOOKUP(G386,Valintalistat!F$2:H$5,3,0),99),1,0)</f>
        <v>0</v>
      </c>
      <c r="AF386" s="44">
        <f>IF(Esiehdot!E$8=IFERROR(VLOOKUP(H386,Valintalistat!G$2:H$3,2,0),98),1,0)</f>
        <v>0</v>
      </c>
      <c r="AG386" s="43">
        <f t="shared" si="48"/>
        <v>0</v>
      </c>
      <c r="AH386" s="43">
        <f>IFERROR(HLOOKUP(Esiehdot!$B$17,Käyttötapauskriteerit!G$1:P223,386,0),1)</f>
        <v>1</v>
      </c>
      <c r="AI386" s="43">
        <f t="shared" si="49"/>
        <v>0</v>
      </c>
      <c r="AJ386" s="43">
        <f t="shared" si="50"/>
        <v>0</v>
      </c>
      <c r="AK386" s="43">
        <f t="shared" si="51"/>
        <v>0</v>
      </c>
      <c r="AL386" s="43">
        <f t="shared" si="52"/>
        <v>0</v>
      </c>
      <c r="AM386" s="43"/>
      <c r="AN386" s="45" t="str">
        <f t="shared" si="53"/>
        <v/>
      </c>
    </row>
    <row r="387" spans="1:40" ht="15.6">
      <c r="A387" s="5"/>
      <c r="B387" s="5"/>
      <c r="E387" s="17"/>
      <c r="F387" s="17"/>
      <c r="G387" s="17"/>
      <c r="H387" s="17"/>
      <c r="I387" s="17"/>
      <c r="J387" s="17"/>
      <c r="K387" s="17"/>
      <c r="L387" s="32"/>
      <c r="M387" s="61"/>
      <c r="N387" s="23"/>
      <c r="O387" s="23"/>
      <c r="P387" s="9"/>
      <c r="Q387" s="9"/>
      <c r="R387" s="9"/>
      <c r="S387" s="9"/>
      <c r="U387" s="42" t="str">
        <f t="shared" ref="U387:U450" si="54">CONCATENATE(C387,", L:",E387,", E:",F387,", S:",G387,", TS:",H387)</f>
        <v>, L:, E:, S:, TS:</v>
      </c>
      <c r="V387" s="42" t="str">
        <f t="shared" ref="V387:V450" si="55">IF(R387="",IF(S387="","",CONCATENATE("Katakri: ",S387)),IF(S387="",CONCATENATE("Julkri: ",R387),CONCATENATE("Julkri: ",R387,"; Katakri: ",S387)))</f>
        <v/>
      </c>
      <c r="W387" s="43">
        <f>IFERROR(VLOOKUP(A387,Esiehdot!A$11:D$15,4,0), 0)</f>
        <v>0</v>
      </c>
      <c r="X387" s="44">
        <f>IF(Esiehdot!D$4&gt;=IFERROR(VLOOKUP(E387,Valintalistat!D$2:H$7,5,0), 99),1,0)</f>
        <v>0</v>
      </c>
      <c r="Y387" s="44">
        <f>IF(Esiehdot!D$5&gt;=IFERROR(VLOOKUP(F387,Valintalistat!E$2:H$5,4,0), 99),1,0)</f>
        <v>0</v>
      </c>
      <c r="Z387" s="44">
        <f>IF(Esiehdot!D$6&gt;=IFERROR(VLOOKUP(G387,Valintalistat!F$2:H$5,3,0),99),1,0)</f>
        <v>0</v>
      </c>
      <c r="AA387" s="44">
        <f>IF(Esiehdot!D$8&gt;=IFERROR(VLOOKUP(H387,Valintalistat!G$2:H$5,2,0),99),1,0)</f>
        <v>0</v>
      </c>
      <c r="AB387" s="43">
        <f t="shared" ref="AB387:AB450" si="56">IF(X387+Y387+Z387+AA387=0,0,1)</f>
        <v>0</v>
      </c>
      <c r="AC387" s="44">
        <f>IF(Esiehdot!E$4=IFERROR(VLOOKUP(E387,Valintalistat!D$2:H$7,5,0),99),1,0)</f>
        <v>0</v>
      </c>
      <c r="AD387" s="44">
        <f>IF(Esiehdot!E$5=IFERROR(VLOOKUP(F387,Valintalistat!E$2:H$5,4,0),99),1,0)</f>
        <v>0</v>
      </c>
      <c r="AE387" s="44">
        <f>IF(Esiehdot!E$6=IFERROR(VLOOKUP(G387,Valintalistat!F$2:H$5,3,0),99),1,0)</f>
        <v>0</v>
      </c>
      <c r="AF387" s="44">
        <f>IF(Esiehdot!E$8=IFERROR(VLOOKUP(H387,Valintalistat!G$2:H$3,2,0),98),1,0)</f>
        <v>0</v>
      </c>
      <c r="AG387" s="43">
        <f t="shared" ref="AG387:AG450" si="57">IF(AC387+AD387+AE387+AF387&gt;X387+Y387+Z387+AA387,1,0)</f>
        <v>0</v>
      </c>
      <c r="AH387" s="43">
        <f>IFERROR(HLOOKUP(Esiehdot!$B$17,Käyttötapauskriteerit!G$1:P223,387,0),1)</f>
        <v>1</v>
      </c>
      <c r="AI387" s="43">
        <f t="shared" ref="AI387:AI450" si="58">IF(W387*AB387*AH387=1,1,0)</f>
        <v>0</v>
      </c>
      <c r="AJ387" s="43">
        <f t="shared" ref="AJ387:AJ450" si="59">IF(W387*AB387*AH387=2,1,0)</f>
        <v>0</v>
      </c>
      <c r="AK387" s="43">
        <f t="shared" ref="AK387:AK450" si="60">IF(W387*AG387*AH387=1,1,0)</f>
        <v>0</v>
      </c>
      <c r="AL387" s="43">
        <f t="shared" ref="AL387:AL450" si="61">IF(W387*AG387*AH387=2,1,0)</f>
        <v>0</v>
      </c>
      <c r="AM387" s="43"/>
      <c r="AN387" s="45" t="str">
        <f t="shared" ref="AN387:AN450" si="62">IF(C387="","",IF(AI387=1,"Olennainen",IF(AJ387=1,"Valinnainen",IF(AK387=1,"Valinnainen",IF(AL387=1,"Valinnainen","Ei ehdoteta hankintaan")))))</f>
        <v/>
      </c>
    </row>
    <row r="388" spans="1:40" ht="15.6">
      <c r="A388" s="5"/>
      <c r="B388" s="5"/>
      <c r="E388" s="17"/>
      <c r="F388" s="17"/>
      <c r="G388" s="17"/>
      <c r="H388" s="17"/>
      <c r="I388" s="17"/>
      <c r="J388" s="17"/>
      <c r="K388" s="17"/>
      <c r="L388" s="32"/>
      <c r="M388" s="61"/>
      <c r="N388" s="23"/>
      <c r="O388" s="23"/>
      <c r="P388" s="9"/>
      <c r="Q388" s="9"/>
      <c r="R388" s="9"/>
      <c r="S388" s="9"/>
      <c r="U388" s="42" t="str">
        <f t="shared" si="54"/>
        <v>, L:, E:, S:, TS:</v>
      </c>
      <c r="V388" s="42" t="str">
        <f t="shared" si="55"/>
        <v/>
      </c>
      <c r="W388" s="43">
        <f>IFERROR(VLOOKUP(A388,Esiehdot!A$11:D$15,4,0), 0)</f>
        <v>0</v>
      </c>
      <c r="X388" s="44">
        <f>IF(Esiehdot!D$4&gt;=IFERROR(VLOOKUP(E388,Valintalistat!D$2:H$7,5,0), 99),1,0)</f>
        <v>0</v>
      </c>
      <c r="Y388" s="44">
        <f>IF(Esiehdot!D$5&gt;=IFERROR(VLOOKUP(F388,Valintalistat!E$2:H$5,4,0), 99),1,0)</f>
        <v>0</v>
      </c>
      <c r="Z388" s="44">
        <f>IF(Esiehdot!D$6&gt;=IFERROR(VLOOKUP(G388,Valintalistat!F$2:H$5,3,0),99),1,0)</f>
        <v>0</v>
      </c>
      <c r="AA388" s="44">
        <f>IF(Esiehdot!D$8&gt;=IFERROR(VLOOKUP(H388,Valintalistat!G$2:H$5,2,0),99),1,0)</f>
        <v>0</v>
      </c>
      <c r="AB388" s="43">
        <f t="shared" si="56"/>
        <v>0</v>
      </c>
      <c r="AC388" s="44">
        <f>IF(Esiehdot!E$4=IFERROR(VLOOKUP(E388,Valintalistat!D$2:H$7,5,0),99),1,0)</f>
        <v>0</v>
      </c>
      <c r="AD388" s="44">
        <f>IF(Esiehdot!E$5=IFERROR(VLOOKUP(F388,Valintalistat!E$2:H$5,4,0),99),1,0)</f>
        <v>0</v>
      </c>
      <c r="AE388" s="44">
        <f>IF(Esiehdot!E$6=IFERROR(VLOOKUP(G388,Valintalistat!F$2:H$5,3,0),99),1,0)</f>
        <v>0</v>
      </c>
      <c r="AF388" s="44">
        <f>IF(Esiehdot!E$8=IFERROR(VLOOKUP(H388,Valintalistat!G$2:H$3,2,0),98),1,0)</f>
        <v>0</v>
      </c>
      <c r="AG388" s="43">
        <f t="shared" si="57"/>
        <v>0</v>
      </c>
      <c r="AH388" s="43">
        <f>IFERROR(HLOOKUP(Esiehdot!$B$17,Käyttötapauskriteerit!G$1:P223,388,0),1)</f>
        <v>1</v>
      </c>
      <c r="AI388" s="43">
        <f t="shared" si="58"/>
        <v>0</v>
      </c>
      <c r="AJ388" s="43">
        <f t="shared" si="59"/>
        <v>0</v>
      </c>
      <c r="AK388" s="43">
        <f t="shared" si="60"/>
        <v>0</v>
      </c>
      <c r="AL388" s="43">
        <f t="shared" si="61"/>
        <v>0</v>
      </c>
      <c r="AM388" s="43"/>
      <c r="AN388" s="45" t="str">
        <f t="shared" si="62"/>
        <v/>
      </c>
    </row>
    <row r="389" spans="1:40" ht="15.6">
      <c r="A389" s="5"/>
      <c r="B389" s="5"/>
      <c r="E389" s="17"/>
      <c r="F389" s="17"/>
      <c r="G389" s="17"/>
      <c r="H389" s="17"/>
      <c r="I389" s="17"/>
      <c r="J389" s="17"/>
      <c r="K389" s="17"/>
      <c r="L389" s="32"/>
      <c r="M389" s="61"/>
      <c r="N389" s="23"/>
      <c r="O389" s="23"/>
      <c r="P389" s="9"/>
      <c r="Q389" s="9"/>
      <c r="R389" s="9"/>
      <c r="S389" s="9"/>
      <c r="U389" s="42" t="str">
        <f t="shared" si="54"/>
        <v>, L:, E:, S:, TS:</v>
      </c>
      <c r="V389" s="42" t="str">
        <f t="shared" si="55"/>
        <v/>
      </c>
      <c r="W389" s="43">
        <f>IFERROR(VLOOKUP(A389,Esiehdot!A$11:D$15,4,0), 0)</f>
        <v>0</v>
      </c>
      <c r="X389" s="44">
        <f>IF(Esiehdot!D$4&gt;=IFERROR(VLOOKUP(E389,Valintalistat!D$2:H$7,5,0), 99),1,0)</f>
        <v>0</v>
      </c>
      <c r="Y389" s="44">
        <f>IF(Esiehdot!D$5&gt;=IFERROR(VLOOKUP(F389,Valintalistat!E$2:H$5,4,0), 99),1,0)</f>
        <v>0</v>
      </c>
      <c r="Z389" s="44">
        <f>IF(Esiehdot!D$6&gt;=IFERROR(VLOOKUP(G389,Valintalistat!F$2:H$5,3,0),99),1,0)</f>
        <v>0</v>
      </c>
      <c r="AA389" s="44">
        <f>IF(Esiehdot!D$8&gt;=IFERROR(VLOOKUP(H389,Valintalistat!G$2:H$5,2,0),99),1,0)</f>
        <v>0</v>
      </c>
      <c r="AB389" s="43">
        <f t="shared" si="56"/>
        <v>0</v>
      </c>
      <c r="AC389" s="44">
        <f>IF(Esiehdot!E$4=IFERROR(VLOOKUP(E389,Valintalistat!D$2:H$7,5,0),99),1,0)</f>
        <v>0</v>
      </c>
      <c r="AD389" s="44">
        <f>IF(Esiehdot!E$5=IFERROR(VLOOKUP(F389,Valintalistat!E$2:H$5,4,0),99),1,0)</f>
        <v>0</v>
      </c>
      <c r="AE389" s="44">
        <f>IF(Esiehdot!E$6=IFERROR(VLOOKUP(G389,Valintalistat!F$2:H$5,3,0),99),1,0)</f>
        <v>0</v>
      </c>
      <c r="AF389" s="44">
        <f>IF(Esiehdot!E$8=IFERROR(VLOOKUP(H389,Valintalistat!G$2:H$3,2,0),98),1,0)</f>
        <v>0</v>
      </c>
      <c r="AG389" s="43">
        <f t="shared" si="57"/>
        <v>0</v>
      </c>
      <c r="AH389" s="43">
        <f>IFERROR(HLOOKUP(Esiehdot!$B$17,Käyttötapauskriteerit!G$1:P223,389,0),1)</f>
        <v>1</v>
      </c>
      <c r="AI389" s="43">
        <f t="shared" si="58"/>
        <v>0</v>
      </c>
      <c r="AJ389" s="43">
        <f t="shared" si="59"/>
        <v>0</v>
      </c>
      <c r="AK389" s="43">
        <f t="shared" si="60"/>
        <v>0</v>
      </c>
      <c r="AL389" s="43">
        <f t="shared" si="61"/>
        <v>0</v>
      </c>
      <c r="AM389" s="43"/>
      <c r="AN389" s="45" t="str">
        <f t="shared" si="62"/>
        <v/>
      </c>
    </row>
    <row r="390" spans="1:40" ht="15.6">
      <c r="A390" s="5"/>
      <c r="B390" s="5"/>
      <c r="E390" s="17"/>
      <c r="F390" s="17"/>
      <c r="G390" s="17"/>
      <c r="H390" s="17"/>
      <c r="I390" s="17"/>
      <c r="J390" s="17"/>
      <c r="K390" s="17"/>
      <c r="L390" s="32"/>
      <c r="M390" s="61"/>
      <c r="N390" s="23"/>
      <c r="O390" s="23"/>
      <c r="P390" s="9"/>
      <c r="Q390" s="9"/>
      <c r="R390" s="9"/>
      <c r="S390" s="9"/>
      <c r="U390" s="42" t="str">
        <f t="shared" si="54"/>
        <v>, L:, E:, S:, TS:</v>
      </c>
      <c r="V390" s="42" t="str">
        <f t="shared" si="55"/>
        <v/>
      </c>
      <c r="W390" s="43">
        <f>IFERROR(VLOOKUP(A390,Esiehdot!A$11:D$15,4,0), 0)</f>
        <v>0</v>
      </c>
      <c r="X390" s="44">
        <f>IF(Esiehdot!D$4&gt;=IFERROR(VLOOKUP(E390,Valintalistat!D$2:H$7,5,0), 99),1,0)</f>
        <v>0</v>
      </c>
      <c r="Y390" s="44">
        <f>IF(Esiehdot!D$5&gt;=IFERROR(VLOOKUP(F390,Valintalistat!E$2:H$5,4,0), 99),1,0)</f>
        <v>0</v>
      </c>
      <c r="Z390" s="44">
        <f>IF(Esiehdot!D$6&gt;=IFERROR(VLOOKUP(G390,Valintalistat!F$2:H$5,3,0),99),1,0)</f>
        <v>0</v>
      </c>
      <c r="AA390" s="44">
        <f>IF(Esiehdot!D$8&gt;=IFERROR(VLOOKUP(H390,Valintalistat!G$2:H$5,2,0),99),1,0)</f>
        <v>0</v>
      </c>
      <c r="AB390" s="43">
        <f t="shared" si="56"/>
        <v>0</v>
      </c>
      <c r="AC390" s="44">
        <f>IF(Esiehdot!E$4=IFERROR(VLOOKUP(E390,Valintalistat!D$2:H$7,5,0),99),1,0)</f>
        <v>0</v>
      </c>
      <c r="AD390" s="44">
        <f>IF(Esiehdot!E$5=IFERROR(VLOOKUP(F390,Valintalistat!E$2:H$5,4,0),99),1,0)</f>
        <v>0</v>
      </c>
      <c r="AE390" s="44">
        <f>IF(Esiehdot!E$6=IFERROR(VLOOKUP(G390,Valintalistat!F$2:H$5,3,0),99),1,0)</f>
        <v>0</v>
      </c>
      <c r="AF390" s="44">
        <f>IF(Esiehdot!E$8=IFERROR(VLOOKUP(H390,Valintalistat!G$2:H$3,2,0),98),1,0)</f>
        <v>0</v>
      </c>
      <c r="AG390" s="43">
        <f t="shared" si="57"/>
        <v>0</v>
      </c>
      <c r="AH390" s="43">
        <f>IFERROR(HLOOKUP(Esiehdot!$B$17,Käyttötapauskriteerit!G$1:P223,390,0),1)</f>
        <v>1</v>
      </c>
      <c r="AI390" s="43">
        <f t="shared" si="58"/>
        <v>0</v>
      </c>
      <c r="AJ390" s="43">
        <f t="shared" si="59"/>
        <v>0</v>
      </c>
      <c r="AK390" s="43">
        <f t="shared" si="60"/>
        <v>0</v>
      </c>
      <c r="AL390" s="43">
        <f t="shared" si="61"/>
        <v>0</v>
      </c>
      <c r="AM390" s="43"/>
      <c r="AN390" s="45" t="str">
        <f t="shared" si="62"/>
        <v/>
      </c>
    </row>
    <row r="391" spans="1:40" ht="15.6">
      <c r="A391" s="5"/>
      <c r="B391" s="5"/>
      <c r="E391" s="17"/>
      <c r="F391" s="17"/>
      <c r="G391" s="17"/>
      <c r="H391" s="17"/>
      <c r="I391" s="17"/>
      <c r="J391" s="17"/>
      <c r="K391" s="17"/>
      <c r="L391" s="32"/>
      <c r="M391" s="61"/>
      <c r="N391" s="23"/>
      <c r="O391" s="23"/>
      <c r="P391" s="9"/>
      <c r="Q391" s="9"/>
      <c r="R391" s="9"/>
      <c r="S391" s="9"/>
      <c r="U391" s="42" t="str">
        <f t="shared" si="54"/>
        <v>, L:, E:, S:, TS:</v>
      </c>
      <c r="V391" s="42" t="str">
        <f t="shared" si="55"/>
        <v/>
      </c>
      <c r="W391" s="43">
        <f>IFERROR(VLOOKUP(A391,Esiehdot!A$11:D$15,4,0), 0)</f>
        <v>0</v>
      </c>
      <c r="X391" s="44">
        <f>IF(Esiehdot!D$4&gt;=IFERROR(VLOOKUP(E391,Valintalistat!D$2:H$7,5,0), 99),1,0)</f>
        <v>0</v>
      </c>
      <c r="Y391" s="44">
        <f>IF(Esiehdot!D$5&gt;=IFERROR(VLOOKUP(F391,Valintalistat!E$2:H$5,4,0), 99),1,0)</f>
        <v>0</v>
      </c>
      <c r="Z391" s="44">
        <f>IF(Esiehdot!D$6&gt;=IFERROR(VLOOKUP(G391,Valintalistat!F$2:H$5,3,0),99),1,0)</f>
        <v>0</v>
      </c>
      <c r="AA391" s="44">
        <f>IF(Esiehdot!D$8&gt;=IFERROR(VLOOKUP(H391,Valintalistat!G$2:H$5,2,0),99),1,0)</f>
        <v>0</v>
      </c>
      <c r="AB391" s="43">
        <f t="shared" si="56"/>
        <v>0</v>
      </c>
      <c r="AC391" s="44">
        <f>IF(Esiehdot!E$4=IFERROR(VLOOKUP(E391,Valintalistat!D$2:H$7,5,0),99),1,0)</f>
        <v>0</v>
      </c>
      <c r="AD391" s="44">
        <f>IF(Esiehdot!E$5=IFERROR(VLOOKUP(F391,Valintalistat!E$2:H$5,4,0),99),1,0)</f>
        <v>0</v>
      </c>
      <c r="AE391" s="44">
        <f>IF(Esiehdot!E$6=IFERROR(VLOOKUP(G391,Valintalistat!F$2:H$5,3,0),99),1,0)</f>
        <v>0</v>
      </c>
      <c r="AF391" s="44">
        <f>IF(Esiehdot!E$8=IFERROR(VLOOKUP(H391,Valintalistat!G$2:H$3,2,0),98),1,0)</f>
        <v>0</v>
      </c>
      <c r="AG391" s="43">
        <f t="shared" si="57"/>
        <v>0</v>
      </c>
      <c r="AH391" s="43">
        <f>IFERROR(HLOOKUP(Esiehdot!$B$17,Käyttötapauskriteerit!G$1:P223,391,0),1)</f>
        <v>1</v>
      </c>
      <c r="AI391" s="43">
        <f t="shared" si="58"/>
        <v>0</v>
      </c>
      <c r="AJ391" s="43">
        <f t="shared" si="59"/>
        <v>0</v>
      </c>
      <c r="AK391" s="43">
        <f t="shared" si="60"/>
        <v>0</v>
      </c>
      <c r="AL391" s="43">
        <f t="shared" si="61"/>
        <v>0</v>
      </c>
      <c r="AM391" s="43"/>
      <c r="AN391" s="45" t="str">
        <f t="shared" si="62"/>
        <v/>
      </c>
    </row>
    <row r="392" spans="1:40" ht="15.6">
      <c r="A392" s="5"/>
      <c r="B392" s="5"/>
      <c r="E392" s="17"/>
      <c r="F392" s="17"/>
      <c r="G392" s="17"/>
      <c r="H392" s="17"/>
      <c r="I392" s="17"/>
      <c r="J392" s="17"/>
      <c r="K392" s="17"/>
      <c r="L392" s="32"/>
      <c r="M392" s="61"/>
      <c r="N392" s="23"/>
      <c r="O392" s="23"/>
      <c r="P392" s="9"/>
      <c r="Q392" s="9"/>
      <c r="R392" s="9"/>
      <c r="S392" s="9"/>
      <c r="U392" s="42" t="str">
        <f t="shared" si="54"/>
        <v>, L:, E:, S:, TS:</v>
      </c>
      <c r="V392" s="42" t="str">
        <f t="shared" si="55"/>
        <v/>
      </c>
      <c r="W392" s="43">
        <f>IFERROR(VLOOKUP(A392,Esiehdot!A$11:D$15,4,0), 0)</f>
        <v>0</v>
      </c>
      <c r="X392" s="44">
        <f>IF(Esiehdot!D$4&gt;=IFERROR(VLOOKUP(E392,Valintalistat!D$2:H$7,5,0), 99),1,0)</f>
        <v>0</v>
      </c>
      <c r="Y392" s="44">
        <f>IF(Esiehdot!D$5&gt;=IFERROR(VLOOKUP(F392,Valintalistat!E$2:H$5,4,0), 99),1,0)</f>
        <v>0</v>
      </c>
      <c r="Z392" s="44">
        <f>IF(Esiehdot!D$6&gt;=IFERROR(VLOOKUP(G392,Valintalistat!F$2:H$5,3,0),99),1,0)</f>
        <v>0</v>
      </c>
      <c r="AA392" s="44">
        <f>IF(Esiehdot!D$8&gt;=IFERROR(VLOOKUP(H392,Valintalistat!G$2:H$5,2,0),99),1,0)</f>
        <v>0</v>
      </c>
      <c r="AB392" s="43">
        <f t="shared" si="56"/>
        <v>0</v>
      </c>
      <c r="AC392" s="44">
        <f>IF(Esiehdot!E$4=IFERROR(VLOOKUP(E392,Valintalistat!D$2:H$7,5,0),99),1,0)</f>
        <v>0</v>
      </c>
      <c r="AD392" s="44">
        <f>IF(Esiehdot!E$5=IFERROR(VLOOKUP(F392,Valintalistat!E$2:H$5,4,0),99),1,0)</f>
        <v>0</v>
      </c>
      <c r="AE392" s="44">
        <f>IF(Esiehdot!E$6=IFERROR(VLOOKUP(G392,Valintalistat!F$2:H$5,3,0),99),1,0)</f>
        <v>0</v>
      </c>
      <c r="AF392" s="44">
        <f>IF(Esiehdot!E$8=IFERROR(VLOOKUP(H392,Valintalistat!G$2:H$3,2,0),98),1,0)</f>
        <v>0</v>
      </c>
      <c r="AG392" s="43">
        <f t="shared" si="57"/>
        <v>0</v>
      </c>
      <c r="AH392" s="43">
        <f>IFERROR(HLOOKUP(Esiehdot!$B$17,Käyttötapauskriteerit!G$1:P223,392,0),1)</f>
        <v>1</v>
      </c>
      <c r="AI392" s="43">
        <f t="shared" si="58"/>
        <v>0</v>
      </c>
      <c r="AJ392" s="43">
        <f t="shared" si="59"/>
        <v>0</v>
      </c>
      <c r="AK392" s="43">
        <f t="shared" si="60"/>
        <v>0</v>
      </c>
      <c r="AL392" s="43">
        <f t="shared" si="61"/>
        <v>0</v>
      </c>
      <c r="AM392" s="43"/>
      <c r="AN392" s="45" t="str">
        <f t="shared" si="62"/>
        <v/>
      </c>
    </row>
    <row r="393" spans="1:40" ht="15.6">
      <c r="A393" s="5"/>
      <c r="B393" s="5"/>
      <c r="E393" s="17"/>
      <c r="F393" s="17"/>
      <c r="G393" s="17"/>
      <c r="H393" s="17"/>
      <c r="I393" s="17"/>
      <c r="J393" s="17"/>
      <c r="K393" s="17"/>
      <c r="L393" s="32"/>
      <c r="M393" s="61"/>
      <c r="N393" s="23"/>
      <c r="O393" s="23"/>
      <c r="P393" s="9"/>
      <c r="Q393" s="9"/>
      <c r="R393" s="9"/>
      <c r="S393" s="9"/>
      <c r="U393" s="42" t="str">
        <f t="shared" si="54"/>
        <v>, L:, E:, S:, TS:</v>
      </c>
      <c r="V393" s="42" t="str">
        <f t="shared" si="55"/>
        <v/>
      </c>
      <c r="W393" s="43">
        <f>IFERROR(VLOOKUP(A393,Esiehdot!A$11:D$15,4,0), 0)</f>
        <v>0</v>
      </c>
      <c r="X393" s="44">
        <f>IF(Esiehdot!D$4&gt;=IFERROR(VLOOKUP(E393,Valintalistat!D$2:H$7,5,0), 99),1,0)</f>
        <v>0</v>
      </c>
      <c r="Y393" s="44">
        <f>IF(Esiehdot!D$5&gt;=IFERROR(VLOOKUP(F393,Valintalistat!E$2:H$5,4,0), 99),1,0)</f>
        <v>0</v>
      </c>
      <c r="Z393" s="44">
        <f>IF(Esiehdot!D$6&gt;=IFERROR(VLOOKUP(G393,Valintalistat!F$2:H$5,3,0),99),1,0)</f>
        <v>0</v>
      </c>
      <c r="AA393" s="44">
        <f>IF(Esiehdot!D$8&gt;=IFERROR(VLOOKUP(H393,Valintalistat!G$2:H$5,2,0),99),1,0)</f>
        <v>0</v>
      </c>
      <c r="AB393" s="43">
        <f t="shared" si="56"/>
        <v>0</v>
      </c>
      <c r="AC393" s="44">
        <f>IF(Esiehdot!E$4=IFERROR(VLOOKUP(E393,Valintalistat!D$2:H$7,5,0),99),1,0)</f>
        <v>0</v>
      </c>
      <c r="AD393" s="44">
        <f>IF(Esiehdot!E$5=IFERROR(VLOOKUP(F393,Valintalistat!E$2:H$5,4,0),99),1,0)</f>
        <v>0</v>
      </c>
      <c r="AE393" s="44">
        <f>IF(Esiehdot!E$6=IFERROR(VLOOKUP(G393,Valintalistat!F$2:H$5,3,0),99),1,0)</f>
        <v>0</v>
      </c>
      <c r="AF393" s="44">
        <f>IF(Esiehdot!E$8=IFERROR(VLOOKUP(H393,Valintalistat!G$2:H$3,2,0),98),1,0)</f>
        <v>0</v>
      </c>
      <c r="AG393" s="43">
        <f t="shared" si="57"/>
        <v>0</v>
      </c>
      <c r="AH393" s="43">
        <f>IFERROR(HLOOKUP(Esiehdot!$B$17,Käyttötapauskriteerit!G$1:P223,393,0),1)</f>
        <v>1</v>
      </c>
      <c r="AI393" s="43">
        <f t="shared" si="58"/>
        <v>0</v>
      </c>
      <c r="AJ393" s="43">
        <f t="shared" si="59"/>
        <v>0</v>
      </c>
      <c r="AK393" s="43">
        <f t="shared" si="60"/>
        <v>0</v>
      </c>
      <c r="AL393" s="43">
        <f t="shared" si="61"/>
        <v>0</v>
      </c>
      <c r="AM393" s="43"/>
      <c r="AN393" s="45" t="str">
        <f t="shared" si="62"/>
        <v/>
      </c>
    </row>
    <row r="394" spans="1:40" ht="15.6">
      <c r="A394" s="5"/>
      <c r="B394" s="5"/>
      <c r="E394" s="17"/>
      <c r="F394" s="17"/>
      <c r="G394" s="17"/>
      <c r="H394" s="17"/>
      <c r="I394" s="17"/>
      <c r="J394" s="17"/>
      <c r="K394" s="17"/>
      <c r="L394" s="32"/>
      <c r="M394" s="61"/>
      <c r="N394" s="23"/>
      <c r="O394" s="23"/>
      <c r="P394" s="9"/>
      <c r="Q394" s="9"/>
      <c r="R394" s="9"/>
      <c r="S394" s="9"/>
      <c r="U394" s="42" t="str">
        <f t="shared" si="54"/>
        <v>, L:, E:, S:, TS:</v>
      </c>
      <c r="V394" s="42" t="str">
        <f t="shared" si="55"/>
        <v/>
      </c>
      <c r="W394" s="43">
        <f>IFERROR(VLOOKUP(A394,Esiehdot!A$11:D$15,4,0), 0)</f>
        <v>0</v>
      </c>
      <c r="X394" s="44">
        <f>IF(Esiehdot!D$4&gt;=IFERROR(VLOOKUP(E394,Valintalistat!D$2:H$7,5,0), 99),1,0)</f>
        <v>0</v>
      </c>
      <c r="Y394" s="44">
        <f>IF(Esiehdot!D$5&gt;=IFERROR(VLOOKUP(F394,Valintalistat!E$2:H$5,4,0), 99),1,0)</f>
        <v>0</v>
      </c>
      <c r="Z394" s="44">
        <f>IF(Esiehdot!D$6&gt;=IFERROR(VLOOKUP(G394,Valintalistat!F$2:H$5,3,0),99),1,0)</f>
        <v>0</v>
      </c>
      <c r="AA394" s="44">
        <f>IF(Esiehdot!D$8&gt;=IFERROR(VLOOKUP(H394,Valintalistat!G$2:H$5,2,0),99),1,0)</f>
        <v>0</v>
      </c>
      <c r="AB394" s="43">
        <f t="shared" si="56"/>
        <v>0</v>
      </c>
      <c r="AC394" s="44">
        <f>IF(Esiehdot!E$4=IFERROR(VLOOKUP(E394,Valintalistat!D$2:H$7,5,0),99),1,0)</f>
        <v>0</v>
      </c>
      <c r="AD394" s="44">
        <f>IF(Esiehdot!E$5=IFERROR(VLOOKUP(F394,Valintalistat!E$2:H$5,4,0),99),1,0)</f>
        <v>0</v>
      </c>
      <c r="AE394" s="44">
        <f>IF(Esiehdot!E$6=IFERROR(VLOOKUP(G394,Valintalistat!F$2:H$5,3,0),99),1,0)</f>
        <v>0</v>
      </c>
      <c r="AF394" s="44">
        <f>IF(Esiehdot!E$8=IFERROR(VLOOKUP(H394,Valintalistat!G$2:H$3,2,0),98),1,0)</f>
        <v>0</v>
      </c>
      <c r="AG394" s="43">
        <f t="shared" si="57"/>
        <v>0</v>
      </c>
      <c r="AH394" s="43">
        <f>IFERROR(HLOOKUP(Esiehdot!$B$17,Käyttötapauskriteerit!G$1:P223,394,0),1)</f>
        <v>1</v>
      </c>
      <c r="AI394" s="43">
        <f t="shared" si="58"/>
        <v>0</v>
      </c>
      <c r="AJ394" s="43">
        <f t="shared" si="59"/>
        <v>0</v>
      </c>
      <c r="AK394" s="43">
        <f t="shared" si="60"/>
        <v>0</v>
      </c>
      <c r="AL394" s="43">
        <f t="shared" si="61"/>
        <v>0</v>
      </c>
      <c r="AM394" s="43"/>
      <c r="AN394" s="45" t="str">
        <f t="shared" si="62"/>
        <v/>
      </c>
    </row>
    <row r="395" spans="1:40" ht="15.6">
      <c r="A395" s="5"/>
      <c r="B395" s="5"/>
      <c r="E395" s="17"/>
      <c r="F395" s="17"/>
      <c r="G395" s="17"/>
      <c r="H395" s="17"/>
      <c r="I395" s="17"/>
      <c r="J395" s="17"/>
      <c r="K395" s="17"/>
      <c r="L395" s="32"/>
      <c r="M395" s="61"/>
      <c r="N395" s="23"/>
      <c r="O395" s="23"/>
      <c r="P395" s="9"/>
      <c r="Q395" s="9"/>
      <c r="R395" s="9"/>
      <c r="S395" s="9"/>
      <c r="U395" s="42" t="str">
        <f t="shared" si="54"/>
        <v>, L:, E:, S:, TS:</v>
      </c>
      <c r="V395" s="42" t="str">
        <f t="shared" si="55"/>
        <v/>
      </c>
      <c r="W395" s="43">
        <f>IFERROR(VLOOKUP(A395,Esiehdot!A$11:D$15,4,0), 0)</f>
        <v>0</v>
      </c>
      <c r="X395" s="44">
        <f>IF(Esiehdot!D$4&gt;=IFERROR(VLOOKUP(E395,Valintalistat!D$2:H$7,5,0), 99),1,0)</f>
        <v>0</v>
      </c>
      <c r="Y395" s="44">
        <f>IF(Esiehdot!D$5&gt;=IFERROR(VLOOKUP(F395,Valintalistat!E$2:H$5,4,0), 99),1,0)</f>
        <v>0</v>
      </c>
      <c r="Z395" s="44">
        <f>IF(Esiehdot!D$6&gt;=IFERROR(VLOOKUP(G395,Valintalistat!F$2:H$5,3,0),99),1,0)</f>
        <v>0</v>
      </c>
      <c r="AA395" s="44">
        <f>IF(Esiehdot!D$8&gt;=IFERROR(VLOOKUP(H395,Valintalistat!G$2:H$5,2,0),99),1,0)</f>
        <v>0</v>
      </c>
      <c r="AB395" s="43">
        <f t="shared" si="56"/>
        <v>0</v>
      </c>
      <c r="AC395" s="44">
        <f>IF(Esiehdot!E$4=IFERROR(VLOOKUP(E395,Valintalistat!D$2:H$7,5,0),99),1,0)</f>
        <v>0</v>
      </c>
      <c r="AD395" s="44">
        <f>IF(Esiehdot!E$5=IFERROR(VLOOKUP(F395,Valintalistat!E$2:H$5,4,0),99),1,0)</f>
        <v>0</v>
      </c>
      <c r="AE395" s="44">
        <f>IF(Esiehdot!E$6=IFERROR(VLOOKUP(G395,Valintalistat!F$2:H$5,3,0),99),1,0)</f>
        <v>0</v>
      </c>
      <c r="AF395" s="44">
        <f>IF(Esiehdot!E$8=IFERROR(VLOOKUP(H395,Valintalistat!G$2:H$3,2,0),98),1,0)</f>
        <v>0</v>
      </c>
      <c r="AG395" s="43">
        <f t="shared" si="57"/>
        <v>0</v>
      </c>
      <c r="AH395" s="43">
        <f>IFERROR(HLOOKUP(Esiehdot!$B$17,Käyttötapauskriteerit!G$1:P223,395,0),1)</f>
        <v>1</v>
      </c>
      <c r="AI395" s="43">
        <f t="shared" si="58"/>
        <v>0</v>
      </c>
      <c r="AJ395" s="43">
        <f t="shared" si="59"/>
        <v>0</v>
      </c>
      <c r="AK395" s="43">
        <f t="shared" si="60"/>
        <v>0</v>
      </c>
      <c r="AL395" s="43">
        <f t="shared" si="61"/>
        <v>0</v>
      </c>
      <c r="AM395" s="43"/>
      <c r="AN395" s="45" t="str">
        <f t="shared" si="62"/>
        <v/>
      </c>
    </row>
    <row r="396" spans="1:40" ht="15.6">
      <c r="A396" s="5"/>
      <c r="B396" s="5"/>
      <c r="E396" s="17"/>
      <c r="F396" s="17"/>
      <c r="G396" s="17"/>
      <c r="H396" s="17"/>
      <c r="I396" s="17"/>
      <c r="J396" s="17"/>
      <c r="K396" s="17"/>
      <c r="L396" s="32"/>
      <c r="M396" s="61"/>
      <c r="N396" s="23"/>
      <c r="O396" s="23"/>
      <c r="P396" s="9"/>
      <c r="Q396" s="9"/>
      <c r="R396" s="9"/>
      <c r="S396" s="9"/>
      <c r="U396" s="42" t="str">
        <f t="shared" si="54"/>
        <v>, L:, E:, S:, TS:</v>
      </c>
      <c r="V396" s="42" t="str">
        <f t="shared" si="55"/>
        <v/>
      </c>
      <c r="W396" s="43">
        <f>IFERROR(VLOOKUP(A396,Esiehdot!A$11:D$15,4,0), 0)</f>
        <v>0</v>
      </c>
      <c r="X396" s="44">
        <f>IF(Esiehdot!D$4&gt;=IFERROR(VLOOKUP(E396,Valintalistat!D$2:H$7,5,0), 99),1,0)</f>
        <v>0</v>
      </c>
      <c r="Y396" s="44">
        <f>IF(Esiehdot!D$5&gt;=IFERROR(VLOOKUP(F396,Valintalistat!E$2:H$5,4,0), 99),1,0)</f>
        <v>0</v>
      </c>
      <c r="Z396" s="44">
        <f>IF(Esiehdot!D$6&gt;=IFERROR(VLOOKUP(G396,Valintalistat!F$2:H$5,3,0),99),1,0)</f>
        <v>0</v>
      </c>
      <c r="AA396" s="44">
        <f>IF(Esiehdot!D$8&gt;=IFERROR(VLOOKUP(H396,Valintalistat!G$2:H$5,2,0),99),1,0)</f>
        <v>0</v>
      </c>
      <c r="AB396" s="43">
        <f t="shared" si="56"/>
        <v>0</v>
      </c>
      <c r="AC396" s="44">
        <f>IF(Esiehdot!E$4=IFERROR(VLOOKUP(E396,Valintalistat!D$2:H$7,5,0),99),1,0)</f>
        <v>0</v>
      </c>
      <c r="AD396" s="44">
        <f>IF(Esiehdot!E$5=IFERROR(VLOOKUP(F396,Valintalistat!E$2:H$5,4,0),99),1,0)</f>
        <v>0</v>
      </c>
      <c r="AE396" s="44">
        <f>IF(Esiehdot!E$6=IFERROR(VLOOKUP(G396,Valintalistat!F$2:H$5,3,0),99),1,0)</f>
        <v>0</v>
      </c>
      <c r="AF396" s="44">
        <f>IF(Esiehdot!E$8=IFERROR(VLOOKUP(H396,Valintalistat!G$2:H$3,2,0),98),1,0)</f>
        <v>0</v>
      </c>
      <c r="AG396" s="43">
        <f t="shared" si="57"/>
        <v>0</v>
      </c>
      <c r="AH396" s="43">
        <f>IFERROR(HLOOKUP(Esiehdot!$B$17,Käyttötapauskriteerit!G$1:P223,396,0),1)</f>
        <v>1</v>
      </c>
      <c r="AI396" s="43">
        <f t="shared" si="58"/>
        <v>0</v>
      </c>
      <c r="AJ396" s="43">
        <f t="shared" si="59"/>
        <v>0</v>
      </c>
      <c r="AK396" s="43">
        <f t="shared" si="60"/>
        <v>0</v>
      </c>
      <c r="AL396" s="43">
        <f t="shared" si="61"/>
        <v>0</v>
      </c>
      <c r="AM396" s="43"/>
      <c r="AN396" s="45" t="str">
        <f t="shared" si="62"/>
        <v/>
      </c>
    </row>
    <row r="397" spans="1:40" ht="15.6">
      <c r="A397" s="5"/>
      <c r="B397" s="5"/>
      <c r="E397" s="17"/>
      <c r="F397" s="17"/>
      <c r="G397" s="17"/>
      <c r="H397" s="17"/>
      <c r="I397" s="17"/>
      <c r="J397" s="17"/>
      <c r="K397" s="17"/>
      <c r="L397" s="32"/>
      <c r="M397" s="61"/>
      <c r="N397" s="23"/>
      <c r="O397" s="23"/>
      <c r="P397" s="9"/>
      <c r="Q397" s="9"/>
      <c r="R397" s="9"/>
      <c r="S397" s="9"/>
      <c r="U397" s="42" t="str">
        <f t="shared" si="54"/>
        <v>, L:, E:, S:, TS:</v>
      </c>
      <c r="V397" s="42" t="str">
        <f t="shared" si="55"/>
        <v/>
      </c>
      <c r="W397" s="43">
        <f>IFERROR(VLOOKUP(A397,Esiehdot!A$11:D$15,4,0), 0)</f>
        <v>0</v>
      </c>
      <c r="X397" s="44">
        <f>IF(Esiehdot!D$4&gt;=IFERROR(VLOOKUP(E397,Valintalistat!D$2:H$7,5,0), 99),1,0)</f>
        <v>0</v>
      </c>
      <c r="Y397" s="44">
        <f>IF(Esiehdot!D$5&gt;=IFERROR(VLOOKUP(F397,Valintalistat!E$2:H$5,4,0), 99),1,0)</f>
        <v>0</v>
      </c>
      <c r="Z397" s="44">
        <f>IF(Esiehdot!D$6&gt;=IFERROR(VLOOKUP(G397,Valintalistat!F$2:H$5,3,0),99),1,0)</f>
        <v>0</v>
      </c>
      <c r="AA397" s="44">
        <f>IF(Esiehdot!D$8&gt;=IFERROR(VLOOKUP(H397,Valintalistat!G$2:H$5,2,0),99),1,0)</f>
        <v>0</v>
      </c>
      <c r="AB397" s="43">
        <f t="shared" si="56"/>
        <v>0</v>
      </c>
      <c r="AC397" s="44">
        <f>IF(Esiehdot!E$4=IFERROR(VLOOKUP(E397,Valintalistat!D$2:H$7,5,0),99),1,0)</f>
        <v>0</v>
      </c>
      <c r="AD397" s="44">
        <f>IF(Esiehdot!E$5=IFERROR(VLOOKUP(F397,Valintalistat!E$2:H$5,4,0),99),1,0)</f>
        <v>0</v>
      </c>
      <c r="AE397" s="44">
        <f>IF(Esiehdot!E$6=IFERROR(VLOOKUP(G397,Valintalistat!F$2:H$5,3,0),99),1,0)</f>
        <v>0</v>
      </c>
      <c r="AF397" s="44">
        <f>IF(Esiehdot!E$8=IFERROR(VLOOKUP(H397,Valintalistat!G$2:H$3,2,0),98),1,0)</f>
        <v>0</v>
      </c>
      <c r="AG397" s="43">
        <f t="shared" si="57"/>
        <v>0</v>
      </c>
      <c r="AH397" s="43">
        <f>IFERROR(HLOOKUP(Esiehdot!$B$17,Käyttötapauskriteerit!G$1:P223,397,0),1)</f>
        <v>1</v>
      </c>
      <c r="AI397" s="43">
        <f t="shared" si="58"/>
        <v>0</v>
      </c>
      <c r="AJ397" s="43">
        <f t="shared" si="59"/>
        <v>0</v>
      </c>
      <c r="AK397" s="43">
        <f t="shared" si="60"/>
        <v>0</v>
      </c>
      <c r="AL397" s="43">
        <f t="shared" si="61"/>
        <v>0</v>
      </c>
      <c r="AM397" s="43"/>
      <c r="AN397" s="45" t="str">
        <f t="shared" si="62"/>
        <v/>
      </c>
    </row>
    <row r="398" spans="1:40" ht="15.6">
      <c r="A398" s="5"/>
      <c r="B398" s="5"/>
      <c r="E398" s="17"/>
      <c r="F398" s="17"/>
      <c r="G398" s="17"/>
      <c r="H398" s="17"/>
      <c r="I398" s="17"/>
      <c r="J398" s="17"/>
      <c r="K398" s="17"/>
      <c r="L398" s="32"/>
      <c r="M398" s="61"/>
      <c r="N398" s="23"/>
      <c r="O398" s="23"/>
      <c r="P398" s="9"/>
      <c r="Q398" s="9"/>
      <c r="R398" s="9"/>
      <c r="S398" s="9"/>
      <c r="U398" s="42" t="str">
        <f t="shared" si="54"/>
        <v>, L:, E:, S:, TS:</v>
      </c>
      <c r="V398" s="42" t="str">
        <f t="shared" si="55"/>
        <v/>
      </c>
      <c r="W398" s="43">
        <f>IFERROR(VLOOKUP(A398,Esiehdot!A$11:D$15,4,0), 0)</f>
        <v>0</v>
      </c>
      <c r="X398" s="44">
        <f>IF(Esiehdot!D$4&gt;=IFERROR(VLOOKUP(E398,Valintalistat!D$2:H$7,5,0), 99),1,0)</f>
        <v>0</v>
      </c>
      <c r="Y398" s="44">
        <f>IF(Esiehdot!D$5&gt;=IFERROR(VLOOKUP(F398,Valintalistat!E$2:H$5,4,0), 99),1,0)</f>
        <v>0</v>
      </c>
      <c r="Z398" s="44">
        <f>IF(Esiehdot!D$6&gt;=IFERROR(VLOOKUP(G398,Valintalistat!F$2:H$5,3,0),99),1,0)</f>
        <v>0</v>
      </c>
      <c r="AA398" s="44">
        <f>IF(Esiehdot!D$8&gt;=IFERROR(VLOOKUP(H398,Valintalistat!G$2:H$5,2,0),99),1,0)</f>
        <v>0</v>
      </c>
      <c r="AB398" s="43">
        <f t="shared" si="56"/>
        <v>0</v>
      </c>
      <c r="AC398" s="44">
        <f>IF(Esiehdot!E$4=IFERROR(VLOOKUP(E398,Valintalistat!D$2:H$7,5,0),99),1,0)</f>
        <v>0</v>
      </c>
      <c r="AD398" s="44">
        <f>IF(Esiehdot!E$5=IFERROR(VLOOKUP(F398,Valintalistat!E$2:H$5,4,0),99),1,0)</f>
        <v>0</v>
      </c>
      <c r="AE398" s="44">
        <f>IF(Esiehdot!E$6=IFERROR(VLOOKUP(G398,Valintalistat!F$2:H$5,3,0),99),1,0)</f>
        <v>0</v>
      </c>
      <c r="AF398" s="44">
        <f>IF(Esiehdot!E$8=IFERROR(VLOOKUP(H398,Valintalistat!G$2:H$3,2,0),98),1,0)</f>
        <v>0</v>
      </c>
      <c r="AG398" s="43">
        <f t="shared" si="57"/>
        <v>0</v>
      </c>
      <c r="AH398" s="43">
        <f>IFERROR(HLOOKUP(Esiehdot!$B$17,Käyttötapauskriteerit!G$1:P223,398,0),1)</f>
        <v>1</v>
      </c>
      <c r="AI398" s="43">
        <f t="shared" si="58"/>
        <v>0</v>
      </c>
      <c r="AJ398" s="43">
        <f t="shared" si="59"/>
        <v>0</v>
      </c>
      <c r="AK398" s="43">
        <f t="shared" si="60"/>
        <v>0</v>
      </c>
      <c r="AL398" s="43">
        <f t="shared" si="61"/>
        <v>0</v>
      </c>
      <c r="AM398" s="43"/>
      <c r="AN398" s="45" t="str">
        <f t="shared" si="62"/>
        <v/>
      </c>
    </row>
    <row r="399" spans="1:40" ht="15.6">
      <c r="A399" s="5"/>
      <c r="B399" s="5"/>
      <c r="E399" s="17"/>
      <c r="F399" s="17"/>
      <c r="G399" s="17"/>
      <c r="H399" s="17"/>
      <c r="I399" s="17"/>
      <c r="J399" s="17"/>
      <c r="K399" s="17"/>
      <c r="L399" s="32"/>
      <c r="M399" s="61"/>
      <c r="N399" s="23"/>
      <c r="O399" s="23"/>
      <c r="P399" s="9"/>
      <c r="Q399" s="9"/>
      <c r="R399" s="9"/>
      <c r="S399" s="9"/>
      <c r="U399" s="42" t="str">
        <f t="shared" si="54"/>
        <v>, L:, E:, S:, TS:</v>
      </c>
      <c r="V399" s="42" t="str">
        <f t="shared" si="55"/>
        <v/>
      </c>
      <c r="W399" s="43">
        <f>IFERROR(VLOOKUP(A399,Esiehdot!A$11:D$15,4,0), 0)</f>
        <v>0</v>
      </c>
      <c r="X399" s="44">
        <f>IF(Esiehdot!D$4&gt;=IFERROR(VLOOKUP(E399,Valintalistat!D$2:H$7,5,0), 99),1,0)</f>
        <v>0</v>
      </c>
      <c r="Y399" s="44">
        <f>IF(Esiehdot!D$5&gt;=IFERROR(VLOOKUP(F399,Valintalistat!E$2:H$5,4,0), 99),1,0)</f>
        <v>0</v>
      </c>
      <c r="Z399" s="44">
        <f>IF(Esiehdot!D$6&gt;=IFERROR(VLOOKUP(G399,Valintalistat!F$2:H$5,3,0),99),1,0)</f>
        <v>0</v>
      </c>
      <c r="AA399" s="44">
        <f>IF(Esiehdot!D$8&gt;=IFERROR(VLOOKUP(H399,Valintalistat!G$2:H$5,2,0),99),1,0)</f>
        <v>0</v>
      </c>
      <c r="AB399" s="43">
        <f t="shared" si="56"/>
        <v>0</v>
      </c>
      <c r="AC399" s="44">
        <f>IF(Esiehdot!E$4=IFERROR(VLOOKUP(E399,Valintalistat!D$2:H$7,5,0),99),1,0)</f>
        <v>0</v>
      </c>
      <c r="AD399" s="44">
        <f>IF(Esiehdot!E$5=IFERROR(VLOOKUP(F399,Valintalistat!E$2:H$5,4,0),99),1,0)</f>
        <v>0</v>
      </c>
      <c r="AE399" s="44">
        <f>IF(Esiehdot!E$6=IFERROR(VLOOKUP(G399,Valintalistat!F$2:H$5,3,0),99),1,0)</f>
        <v>0</v>
      </c>
      <c r="AF399" s="44">
        <f>IF(Esiehdot!E$8=IFERROR(VLOOKUP(H399,Valintalistat!G$2:H$3,2,0),98),1,0)</f>
        <v>0</v>
      </c>
      <c r="AG399" s="43">
        <f t="shared" si="57"/>
        <v>0</v>
      </c>
      <c r="AH399" s="43">
        <f>IFERROR(HLOOKUP(Esiehdot!$B$17,Käyttötapauskriteerit!G$1:P223,399,0),1)</f>
        <v>1</v>
      </c>
      <c r="AI399" s="43">
        <f t="shared" si="58"/>
        <v>0</v>
      </c>
      <c r="AJ399" s="43">
        <f t="shared" si="59"/>
        <v>0</v>
      </c>
      <c r="AK399" s="43">
        <f t="shared" si="60"/>
        <v>0</v>
      </c>
      <c r="AL399" s="43">
        <f t="shared" si="61"/>
        <v>0</v>
      </c>
      <c r="AM399" s="43"/>
      <c r="AN399" s="45" t="str">
        <f t="shared" si="62"/>
        <v/>
      </c>
    </row>
    <row r="400" spans="1:40" ht="15.6">
      <c r="A400" s="5"/>
      <c r="B400" s="5"/>
      <c r="E400" s="17"/>
      <c r="F400" s="17"/>
      <c r="G400" s="17"/>
      <c r="H400" s="17"/>
      <c r="I400" s="17"/>
      <c r="J400" s="17"/>
      <c r="K400" s="17"/>
      <c r="L400" s="32"/>
      <c r="M400" s="61"/>
      <c r="N400" s="23"/>
      <c r="O400" s="23"/>
      <c r="P400" s="9"/>
      <c r="Q400" s="9"/>
      <c r="R400" s="9"/>
      <c r="S400" s="9"/>
      <c r="U400" s="42" t="str">
        <f t="shared" si="54"/>
        <v>, L:, E:, S:, TS:</v>
      </c>
      <c r="V400" s="42" t="str">
        <f t="shared" si="55"/>
        <v/>
      </c>
      <c r="W400" s="43">
        <f>IFERROR(VLOOKUP(A400,Esiehdot!A$11:D$15,4,0), 0)</f>
        <v>0</v>
      </c>
      <c r="X400" s="44">
        <f>IF(Esiehdot!D$4&gt;=IFERROR(VLOOKUP(E400,Valintalistat!D$2:H$7,5,0), 99),1,0)</f>
        <v>0</v>
      </c>
      <c r="Y400" s="44">
        <f>IF(Esiehdot!D$5&gt;=IFERROR(VLOOKUP(F400,Valintalistat!E$2:H$5,4,0), 99),1,0)</f>
        <v>0</v>
      </c>
      <c r="Z400" s="44">
        <f>IF(Esiehdot!D$6&gt;=IFERROR(VLOOKUP(G400,Valintalistat!F$2:H$5,3,0),99),1,0)</f>
        <v>0</v>
      </c>
      <c r="AA400" s="44">
        <f>IF(Esiehdot!D$8&gt;=IFERROR(VLOOKUP(H400,Valintalistat!G$2:H$5,2,0),99),1,0)</f>
        <v>0</v>
      </c>
      <c r="AB400" s="43">
        <f t="shared" si="56"/>
        <v>0</v>
      </c>
      <c r="AC400" s="44">
        <f>IF(Esiehdot!E$4=IFERROR(VLOOKUP(E400,Valintalistat!D$2:H$7,5,0),99),1,0)</f>
        <v>0</v>
      </c>
      <c r="AD400" s="44">
        <f>IF(Esiehdot!E$5=IFERROR(VLOOKUP(F400,Valintalistat!E$2:H$5,4,0),99),1,0)</f>
        <v>0</v>
      </c>
      <c r="AE400" s="44">
        <f>IF(Esiehdot!E$6=IFERROR(VLOOKUP(G400,Valintalistat!F$2:H$5,3,0),99),1,0)</f>
        <v>0</v>
      </c>
      <c r="AF400" s="44">
        <f>IF(Esiehdot!E$8=IFERROR(VLOOKUP(H400,Valintalistat!G$2:H$3,2,0),98),1,0)</f>
        <v>0</v>
      </c>
      <c r="AG400" s="43">
        <f t="shared" si="57"/>
        <v>0</v>
      </c>
      <c r="AH400" s="43">
        <f>IFERROR(HLOOKUP(Esiehdot!$B$17,Käyttötapauskriteerit!G$1:P223,400,0),1)</f>
        <v>1</v>
      </c>
      <c r="AI400" s="43">
        <f t="shared" si="58"/>
        <v>0</v>
      </c>
      <c r="AJ400" s="43">
        <f t="shared" si="59"/>
        <v>0</v>
      </c>
      <c r="AK400" s="43">
        <f t="shared" si="60"/>
        <v>0</v>
      </c>
      <c r="AL400" s="43">
        <f t="shared" si="61"/>
        <v>0</v>
      </c>
      <c r="AM400" s="43"/>
      <c r="AN400" s="45" t="str">
        <f t="shared" si="62"/>
        <v/>
      </c>
    </row>
    <row r="401" spans="1:40" ht="15.6">
      <c r="A401" s="5"/>
      <c r="B401" s="5"/>
      <c r="E401" s="17"/>
      <c r="F401" s="17"/>
      <c r="G401" s="17"/>
      <c r="H401" s="17"/>
      <c r="I401" s="17"/>
      <c r="J401" s="17"/>
      <c r="K401" s="17"/>
      <c r="L401" s="32"/>
      <c r="M401" s="61"/>
      <c r="N401" s="23"/>
      <c r="O401" s="23"/>
      <c r="P401" s="9"/>
      <c r="Q401" s="9"/>
      <c r="R401" s="9"/>
      <c r="S401" s="9"/>
      <c r="U401" s="42" t="str">
        <f t="shared" si="54"/>
        <v>, L:, E:, S:, TS:</v>
      </c>
      <c r="V401" s="42" t="str">
        <f t="shared" si="55"/>
        <v/>
      </c>
      <c r="W401" s="43">
        <f>IFERROR(VLOOKUP(A401,Esiehdot!A$11:D$15,4,0), 0)</f>
        <v>0</v>
      </c>
      <c r="X401" s="44">
        <f>IF(Esiehdot!D$4&gt;=IFERROR(VLOOKUP(E401,Valintalistat!D$2:H$7,5,0), 99),1,0)</f>
        <v>0</v>
      </c>
      <c r="Y401" s="44">
        <f>IF(Esiehdot!D$5&gt;=IFERROR(VLOOKUP(F401,Valintalistat!E$2:H$5,4,0), 99),1,0)</f>
        <v>0</v>
      </c>
      <c r="Z401" s="44">
        <f>IF(Esiehdot!D$6&gt;=IFERROR(VLOOKUP(G401,Valintalistat!F$2:H$5,3,0),99),1,0)</f>
        <v>0</v>
      </c>
      <c r="AA401" s="44">
        <f>IF(Esiehdot!D$8&gt;=IFERROR(VLOOKUP(H401,Valintalistat!G$2:H$5,2,0),99),1,0)</f>
        <v>0</v>
      </c>
      <c r="AB401" s="43">
        <f t="shared" si="56"/>
        <v>0</v>
      </c>
      <c r="AC401" s="44">
        <f>IF(Esiehdot!E$4=IFERROR(VLOOKUP(E401,Valintalistat!D$2:H$7,5,0),99),1,0)</f>
        <v>0</v>
      </c>
      <c r="AD401" s="44">
        <f>IF(Esiehdot!E$5=IFERROR(VLOOKUP(F401,Valintalistat!E$2:H$5,4,0),99),1,0)</f>
        <v>0</v>
      </c>
      <c r="AE401" s="44">
        <f>IF(Esiehdot!E$6=IFERROR(VLOOKUP(G401,Valintalistat!F$2:H$5,3,0),99),1,0)</f>
        <v>0</v>
      </c>
      <c r="AF401" s="44">
        <f>IF(Esiehdot!E$8=IFERROR(VLOOKUP(H401,Valintalistat!G$2:H$3,2,0),98),1,0)</f>
        <v>0</v>
      </c>
      <c r="AG401" s="43">
        <f t="shared" si="57"/>
        <v>0</v>
      </c>
      <c r="AH401" s="43">
        <f>IFERROR(HLOOKUP(Esiehdot!$B$17,Käyttötapauskriteerit!G$1:P223,401,0),1)</f>
        <v>1</v>
      </c>
      <c r="AI401" s="43">
        <f t="shared" si="58"/>
        <v>0</v>
      </c>
      <c r="AJ401" s="43">
        <f t="shared" si="59"/>
        <v>0</v>
      </c>
      <c r="AK401" s="43">
        <f t="shared" si="60"/>
        <v>0</v>
      </c>
      <c r="AL401" s="43">
        <f t="shared" si="61"/>
        <v>0</v>
      </c>
      <c r="AM401" s="43"/>
      <c r="AN401" s="45" t="str">
        <f t="shared" si="62"/>
        <v/>
      </c>
    </row>
    <row r="402" spans="1:40" ht="15.6">
      <c r="A402" s="5"/>
      <c r="B402" s="5"/>
      <c r="E402" s="17"/>
      <c r="F402" s="17"/>
      <c r="G402" s="17"/>
      <c r="H402" s="17"/>
      <c r="I402" s="17"/>
      <c r="J402" s="17"/>
      <c r="K402" s="17"/>
      <c r="L402" s="32"/>
      <c r="M402" s="61"/>
      <c r="N402" s="23"/>
      <c r="O402" s="23"/>
      <c r="P402" s="9"/>
      <c r="Q402" s="9"/>
      <c r="R402" s="9"/>
      <c r="S402" s="9"/>
      <c r="U402" s="42" t="str">
        <f t="shared" si="54"/>
        <v>, L:, E:, S:, TS:</v>
      </c>
      <c r="V402" s="42" t="str">
        <f t="shared" si="55"/>
        <v/>
      </c>
      <c r="W402" s="43">
        <f>IFERROR(VLOOKUP(A402,Esiehdot!A$11:D$15,4,0), 0)</f>
        <v>0</v>
      </c>
      <c r="X402" s="44">
        <f>IF(Esiehdot!D$4&gt;=IFERROR(VLOOKUP(E402,Valintalistat!D$2:H$7,5,0), 99),1,0)</f>
        <v>0</v>
      </c>
      <c r="Y402" s="44">
        <f>IF(Esiehdot!D$5&gt;=IFERROR(VLOOKUP(F402,Valintalistat!E$2:H$5,4,0), 99),1,0)</f>
        <v>0</v>
      </c>
      <c r="Z402" s="44">
        <f>IF(Esiehdot!D$6&gt;=IFERROR(VLOOKUP(G402,Valintalistat!F$2:H$5,3,0),99),1,0)</f>
        <v>0</v>
      </c>
      <c r="AA402" s="44">
        <f>IF(Esiehdot!D$8&gt;=IFERROR(VLOOKUP(H402,Valintalistat!G$2:H$5,2,0),99),1,0)</f>
        <v>0</v>
      </c>
      <c r="AB402" s="43">
        <f t="shared" si="56"/>
        <v>0</v>
      </c>
      <c r="AC402" s="44">
        <f>IF(Esiehdot!E$4=IFERROR(VLOOKUP(E402,Valintalistat!D$2:H$7,5,0),99),1,0)</f>
        <v>0</v>
      </c>
      <c r="AD402" s="44">
        <f>IF(Esiehdot!E$5=IFERROR(VLOOKUP(F402,Valintalistat!E$2:H$5,4,0),99),1,0)</f>
        <v>0</v>
      </c>
      <c r="AE402" s="44">
        <f>IF(Esiehdot!E$6=IFERROR(VLOOKUP(G402,Valintalistat!F$2:H$5,3,0),99),1,0)</f>
        <v>0</v>
      </c>
      <c r="AF402" s="44">
        <f>IF(Esiehdot!E$8=IFERROR(VLOOKUP(H402,Valintalistat!G$2:H$3,2,0),98),1,0)</f>
        <v>0</v>
      </c>
      <c r="AG402" s="43">
        <f t="shared" si="57"/>
        <v>0</v>
      </c>
      <c r="AH402" s="43">
        <f>IFERROR(HLOOKUP(Esiehdot!$B$17,Käyttötapauskriteerit!G$1:P223,402,0),1)</f>
        <v>1</v>
      </c>
      <c r="AI402" s="43">
        <f t="shared" si="58"/>
        <v>0</v>
      </c>
      <c r="AJ402" s="43">
        <f t="shared" si="59"/>
        <v>0</v>
      </c>
      <c r="AK402" s="43">
        <f t="shared" si="60"/>
        <v>0</v>
      </c>
      <c r="AL402" s="43">
        <f t="shared" si="61"/>
        <v>0</v>
      </c>
      <c r="AM402" s="43"/>
      <c r="AN402" s="45" t="str">
        <f t="shared" si="62"/>
        <v/>
      </c>
    </row>
    <row r="403" spans="1:40" ht="15.6">
      <c r="A403" s="5"/>
      <c r="B403" s="5"/>
      <c r="E403" s="17"/>
      <c r="F403" s="17"/>
      <c r="G403" s="17"/>
      <c r="H403" s="17"/>
      <c r="I403" s="17"/>
      <c r="J403" s="17"/>
      <c r="K403" s="17"/>
      <c r="L403" s="32"/>
      <c r="M403" s="61"/>
      <c r="N403" s="23"/>
      <c r="O403" s="23"/>
      <c r="P403" s="9"/>
      <c r="Q403" s="9"/>
      <c r="R403" s="9"/>
      <c r="S403" s="9"/>
      <c r="U403" s="42" t="str">
        <f t="shared" si="54"/>
        <v>, L:, E:, S:, TS:</v>
      </c>
      <c r="V403" s="42" t="str">
        <f t="shared" si="55"/>
        <v/>
      </c>
      <c r="W403" s="43">
        <f>IFERROR(VLOOKUP(A403,Esiehdot!A$11:D$15,4,0), 0)</f>
        <v>0</v>
      </c>
      <c r="X403" s="44">
        <f>IF(Esiehdot!D$4&gt;=IFERROR(VLOOKUP(E403,Valintalistat!D$2:H$7,5,0), 99),1,0)</f>
        <v>0</v>
      </c>
      <c r="Y403" s="44">
        <f>IF(Esiehdot!D$5&gt;=IFERROR(VLOOKUP(F403,Valintalistat!E$2:H$5,4,0), 99),1,0)</f>
        <v>0</v>
      </c>
      <c r="Z403" s="44">
        <f>IF(Esiehdot!D$6&gt;=IFERROR(VLOOKUP(G403,Valintalistat!F$2:H$5,3,0),99),1,0)</f>
        <v>0</v>
      </c>
      <c r="AA403" s="44">
        <f>IF(Esiehdot!D$8&gt;=IFERROR(VLOOKUP(H403,Valintalistat!G$2:H$5,2,0),99),1,0)</f>
        <v>0</v>
      </c>
      <c r="AB403" s="43">
        <f t="shared" si="56"/>
        <v>0</v>
      </c>
      <c r="AC403" s="44">
        <f>IF(Esiehdot!E$4=IFERROR(VLOOKUP(E403,Valintalistat!D$2:H$7,5,0),99),1,0)</f>
        <v>0</v>
      </c>
      <c r="AD403" s="44">
        <f>IF(Esiehdot!E$5=IFERROR(VLOOKUP(F403,Valintalistat!E$2:H$5,4,0),99),1,0)</f>
        <v>0</v>
      </c>
      <c r="AE403" s="44">
        <f>IF(Esiehdot!E$6=IFERROR(VLOOKUP(G403,Valintalistat!F$2:H$5,3,0),99),1,0)</f>
        <v>0</v>
      </c>
      <c r="AF403" s="44">
        <f>IF(Esiehdot!E$8=IFERROR(VLOOKUP(H403,Valintalistat!G$2:H$3,2,0),98),1,0)</f>
        <v>0</v>
      </c>
      <c r="AG403" s="43">
        <f t="shared" si="57"/>
        <v>0</v>
      </c>
      <c r="AH403" s="43">
        <f>IFERROR(HLOOKUP(Esiehdot!$B$17,Käyttötapauskriteerit!G$1:P223,403,0),1)</f>
        <v>1</v>
      </c>
      <c r="AI403" s="43">
        <f t="shared" si="58"/>
        <v>0</v>
      </c>
      <c r="AJ403" s="43">
        <f t="shared" si="59"/>
        <v>0</v>
      </c>
      <c r="AK403" s="43">
        <f t="shared" si="60"/>
        <v>0</v>
      </c>
      <c r="AL403" s="43">
        <f t="shared" si="61"/>
        <v>0</v>
      </c>
      <c r="AM403" s="43"/>
      <c r="AN403" s="45" t="str">
        <f t="shared" si="62"/>
        <v/>
      </c>
    </row>
    <row r="404" spans="1:40" ht="15.6">
      <c r="A404" s="5"/>
      <c r="B404" s="5"/>
      <c r="E404" s="17"/>
      <c r="F404" s="17"/>
      <c r="G404" s="17"/>
      <c r="H404" s="17"/>
      <c r="I404" s="17"/>
      <c r="J404" s="17"/>
      <c r="K404" s="17"/>
      <c r="L404" s="32"/>
      <c r="M404" s="61"/>
      <c r="N404" s="23"/>
      <c r="O404" s="23"/>
      <c r="P404" s="9"/>
      <c r="Q404" s="9"/>
      <c r="R404" s="9"/>
      <c r="S404" s="9"/>
      <c r="U404" s="42" t="str">
        <f t="shared" si="54"/>
        <v>, L:, E:, S:, TS:</v>
      </c>
      <c r="V404" s="42" t="str">
        <f t="shared" si="55"/>
        <v/>
      </c>
      <c r="W404" s="43">
        <f>IFERROR(VLOOKUP(A404,Esiehdot!A$11:D$15,4,0), 0)</f>
        <v>0</v>
      </c>
      <c r="X404" s="44">
        <f>IF(Esiehdot!D$4&gt;=IFERROR(VLOOKUP(E404,Valintalistat!D$2:H$7,5,0), 99),1,0)</f>
        <v>0</v>
      </c>
      <c r="Y404" s="44">
        <f>IF(Esiehdot!D$5&gt;=IFERROR(VLOOKUP(F404,Valintalistat!E$2:H$5,4,0), 99),1,0)</f>
        <v>0</v>
      </c>
      <c r="Z404" s="44">
        <f>IF(Esiehdot!D$6&gt;=IFERROR(VLOOKUP(G404,Valintalistat!F$2:H$5,3,0),99),1,0)</f>
        <v>0</v>
      </c>
      <c r="AA404" s="44">
        <f>IF(Esiehdot!D$8&gt;=IFERROR(VLOOKUP(H404,Valintalistat!G$2:H$5,2,0),99),1,0)</f>
        <v>0</v>
      </c>
      <c r="AB404" s="43">
        <f t="shared" si="56"/>
        <v>0</v>
      </c>
      <c r="AC404" s="44">
        <f>IF(Esiehdot!E$4=IFERROR(VLOOKUP(E404,Valintalistat!D$2:H$7,5,0),99),1,0)</f>
        <v>0</v>
      </c>
      <c r="AD404" s="44">
        <f>IF(Esiehdot!E$5=IFERROR(VLOOKUP(F404,Valintalistat!E$2:H$5,4,0),99),1,0)</f>
        <v>0</v>
      </c>
      <c r="AE404" s="44">
        <f>IF(Esiehdot!E$6=IFERROR(VLOOKUP(G404,Valintalistat!F$2:H$5,3,0),99),1,0)</f>
        <v>0</v>
      </c>
      <c r="AF404" s="44">
        <f>IF(Esiehdot!E$8=IFERROR(VLOOKUP(H404,Valintalistat!G$2:H$3,2,0),98),1,0)</f>
        <v>0</v>
      </c>
      <c r="AG404" s="43">
        <f t="shared" si="57"/>
        <v>0</v>
      </c>
      <c r="AH404" s="43">
        <f>IFERROR(HLOOKUP(Esiehdot!$B$17,Käyttötapauskriteerit!G$1:P223,404,0),1)</f>
        <v>1</v>
      </c>
      <c r="AI404" s="43">
        <f t="shared" si="58"/>
        <v>0</v>
      </c>
      <c r="AJ404" s="43">
        <f t="shared" si="59"/>
        <v>0</v>
      </c>
      <c r="AK404" s="43">
        <f t="shared" si="60"/>
        <v>0</v>
      </c>
      <c r="AL404" s="43">
        <f t="shared" si="61"/>
        <v>0</v>
      </c>
      <c r="AM404" s="43"/>
      <c r="AN404" s="45" t="str">
        <f t="shared" si="62"/>
        <v/>
      </c>
    </row>
    <row r="405" spans="1:40" ht="15.6">
      <c r="A405" s="5"/>
      <c r="B405" s="5"/>
      <c r="E405" s="17"/>
      <c r="F405" s="17"/>
      <c r="G405" s="17"/>
      <c r="H405" s="17"/>
      <c r="I405" s="17"/>
      <c r="J405" s="17"/>
      <c r="K405" s="17"/>
      <c r="L405" s="32"/>
      <c r="M405" s="61"/>
      <c r="N405" s="23"/>
      <c r="O405" s="23"/>
      <c r="P405" s="9"/>
      <c r="Q405" s="9"/>
      <c r="R405" s="9"/>
      <c r="S405" s="9"/>
      <c r="U405" s="42" t="str">
        <f t="shared" si="54"/>
        <v>, L:, E:, S:, TS:</v>
      </c>
      <c r="V405" s="42" t="str">
        <f t="shared" si="55"/>
        <v/>
      </c>
      <c r="W405" s="43">
        <f>IFERROR(VLOOKUP(A405,Esiehdot!A$11:D$15,4,0), 0)</f>
        <v>0</v>
      </c>
      <c r="X405" s="44">
        <f>IF(Esiehdot!D$4&gt;=IFERROR(VLOOKUP(E405,Valintalistat!D$2:H$7,5,0), 99),1,0)</f>
        <v>0</v>
      </c>
      <c r="Y405" s="44">
        <f>IF(Esiehdot!D$5&gt;=IFERROR(VLOOKUP(F405,Valintalistat!E$2:H$5,4,0), 99),1,0)</f>
        <v>0</v>
      </c>
      <c r="Z405" s="44">
        <f>IF(Esiehdot!D$6&gt;=IFERROR(VLOOKUP(G405,Valintalistat!F$2:H$5,3,0),99),1,0)</f>
        <v>0</v>
      </c>
      <c r="AA405" s="44">
        <f>IF(Esiehdot!D$8&gt;=IFERROR(VLOOKUP(H405,Valintalistat!G$2:H$5,2,0),99),1,0)</f>
        <v>0</v>
      </c>
      <c r="AB405" s="43">
        <f t="shared" si="56"/>
        <v>0</v>
      </c>
      <c r="AC405" s="44">
        <f>IF(Esiehdot!E$4=IFERROR(VLOOKUP(E405,Valintalistat!D$2:H$7,5,0),99),1,0)</f>
        <v>0</v>
      </c>
      <c r="AD405" s="44">
        <f>IF(Esiehdot!E$5=IFERROR(VLOOKUP(F405,Valintalistat!E$2:H$5,4,0),99),1,0)</f>
        <v>0</v>
      </c>
      <c r="AE405" s="44">
        <f>IF(Esiehdot!E$6=IFERROR(VLOOKUP(G405,Valintalistat!F$2:H$5,3,0),99),1,0)</f>
        <v>0</v>
      </c>
      <c r="AF405" s="44">
        <f>IF(Esiehdot!E$8=IFERROR(VLOOKUP(H405,Valintalistat!G$2:H$3,2,0),98),1,0)</f>
        <v>0</v>
      </c>
      <c r="AG405" s="43">
        <f t="shared" si="57"/>
        <v>0</v>
      </c>
      <c r="AH405" s="43">
        <f>IFERROR(HLOOKUP(Esiehdot!$B$17,Käyttötapauskriteerit!G$1:P223,405,0),1)</f>
        <v>1</v>
      </c>
      <c r="AI405" s="43">
        <f t="shared" si="58"/>
        <v>0</v>
      </c>
      <c r="AJ405" s="43">
        <f t="shared" si="59"/>
        <v>0</v>
      </c>
      <c r="AK405" s="43">
        <f t="shared" si="60"/>
        <v>0</v>
      </c>
      <c r="AL405" s="43">
        <f t="shared" si="61"/>
        <v>0</v>
      </c>
      <c r="AM405" s="43"/>
      <c r="AN405" s="45" t="str">
        <f t="shared" si="62"/>
        <v/>
      </c>
    </row>
    <row r="406" spans="1:40" ht="15.6">
      <c r="A406" s="5"/>
      <c r="B406" s="5"/>
      <c r="E406" s="17"/>
      <c r="F406" s="17"/>
      <c r="G406" s="17"/>
      <c r="H406" s="17"/>
      <c r="I406" s="17"/>
      <c r="J406" s="17"/>
      <c r="K406" s="17"/>
      <c r="L406" s="32"/>
      <c r="M406" s="61"/>
      <c r="N406" s="23"/>
      <c r="O406" s="23"/>
      <c r="P406" s="9"/>
      <c r="Q406" s="9"/>
      <c r="R406" s="9"/>
      <c r="S406" s="9"/>
      <c r="U406" s="42" t="str">
        <f t="shared" si="54"/>
        <v>, L:, E:, S:, TS:</v>
      </c>
      <c r="V406" s="42" t="str">
        <f t="shared" si="55"/>
        <v/>
      </c>
      <c r="W406" s="43">
        <f>IFERROR(VLOOKUP(A406,Esiehdot!A$11:D$15,4,0), 0)</f>
        <v>0</v>
      </c>
      <c r="X406" s="44">
        <f>IF(Esiehdot!D$4&gt;=IFERROR(VLOOKUP(E406,Valintalistat!D$2:H$7,5,0), 99),1,0)</f>
        <v>0</v>
      </c>
      <c r="Y406" s="44">
        <f>IF(Esiehdot!D$5&gt;=IFERROR(VLOOKUP(F406,Valintalistat!E$2:H$5,4,0), 99),1,0)</f>
        <v>0</v>
      </c>
      <c r="Z406" s="44">
        <f>IF(Esiehdot!D$6&gt;=IFERROR(VLOOKUP(G406,Valintalistat!F$2:H$5,3,0),99),1,0)</f>
        <v>0</v>
      </c>
      <c r="AA406" s="44">
        <f>IF(Esiehdot!D$8&gt;=IFERROR(VLOOKUP(H406,Valintalistat!G$2:H$5,2,0),99),1,0)</f>
        <v>0</v>
      </c>
      <c r="AB406" s="43">
        <f t="shared" si="56"/>
        <v>0</v>
      </c>
      <c r="AC406" s="44">
        <f>IF(Esiehdot!E$4=IFERROR(VLOOKUP(E406,Valintalistat!D$2:H$7,5,0),99),1,0)</f>
        <v>0</v>
      </c>
      <c r="AD406" s="44">
        <f>IF(Esiehdot!E$5=IFERROR(VLOOKUP(F406,Valintalistat!E$2:H$5,4,0),99),1,0)</f>
        <v>0</v>
      </c>
      <c r="AE406" s="44">
        <f>IF(Esiehdot!E$6=IFERROR(VLOOKUP(G406,Valintalistat!F$2:H$5,3,0),99),1,0)</f>
        <v>0</v>
      </c>
      <c r="AF406" s="44">
        <f>IF(Esiehdot!E$8=IFERROR(VLOOKUP(H406,Valintalistat!G$2:H$3,2,0),98),1,0)</f>
        <v>0</v>
      </c>
      <c r="AG406" s="43">
        <f t="shared" si="57"/>
        <v>0</v>
      </c>
      <c r="AH406" s="43">
        <f>IFERROR(HLOOKUP(Esiehdot!$B$17,Käyttötapauskriteerit!G$1:P223,406,0),1)</f>
        <v>1</v>
      </c>
      <c r="AI406" s="43">
        <f t="shared" si="58"/>
        <v>0</v>
      </c>
      <c r="AJ406" s="43">
        <f t="shared" si="59"/>
        <v>0</v>
      </c>
      <c r="AK406" s="43">
        <f t="shared" si="60"/>
        <v>0</v>
      </c>
      <c r="AL406" s="43">
        <f t="shared" si="61"/>
        <v>0</v>
      </c>
      <c r="AM406" s="43"/>
      <c r="AN406" s="45" t="str">
        <f t="shared" si="62"/>
        <v/>
      </c>
    </row>
    <row r="407" spans="1:40" ht="15.6">
      <c r="A407" s="5"/>
      <c r="B407" s="5"/>
      <c r="E407" s="17"/>
      <c r="F407" s="17"/>
      <c r="G407" s="17"/>
      <c r="H407" s="17"/>
      <c r="I407" s="17"/>
      <c r="J407" s="17"/>
      <c r="K407" s="17"/>
      <c r="L407" s="32"/>
      <c r="M407" s="61"/>
      <c r="N407" s="23"/>
      <c r="O407" s="23"/>
      <c r="P407" s="9"/>
      <c r="Q407" s="9"/>
      <c r="R407" s="9"/>
      <c r="S407" s="9"/>
      <c r="U407" s="42" t="str">
        <f t="shared" si="54"/>
        <v>, L:, E:, S:, TS:</v>
      </c>
      <c r="V407" s="42" t="str">
        <f t="shared" si="55"/>
        <v/>
      </c>
      <c r="W407" s="43">
        <f>IFERROR(VLOOKUP(A407,Esiehdot!A$11:D$15,4,0), 0)</f>
        <v>0</v>
      </c>
      <c r="X407" s="44">
        <f>IF(Esiehdot!D$4&gt;=IFERROR(VLOOKUP(E407,Valintalistat!D$2:H$7,5,0), 99),1,0)</f>
        <v>0</v>
      </c>
      <c r="Y407" s="44">
        <f>IF(Esiehdot!D$5&gt;=IFERROR(VLOOKUP(F407,Valintalistat!E$2:H$5,4,0), 99),1,0)</f>
        <v>0</v>
      </c>
      <c r="Z407" s="44">
        <f>IF(Esiehdot!D$6&gt;=IFERROR(VLOOKUP(G407,Valintalistat!F$2:H$5,3,0),99),1,0)</f>
        <v>0</v>
      </c>
      <c r="AA407" s="44">
        <f>IF(Esiehdot!D$8&gt;=IFERROR(VLOOKUP(H407,Valintalistat!G$2:H$5,2,0),99),1,0)</f>
        <v>0</v>
      </c>
      <c r="AB407" s="43">
        <f t="shared" si="56"/>
        <v>0</v>
      </c>
      <c r="AC407" s="44">
        <f>IF(Esiehdot!E$4=IFERROR(VLOOKUP(E407,Valintalistat!D$2:H$7,5,0),99),1,0)</f>
        <v>0</v>
      </c>
      <c r="AD407" s="44">
        <f>IF(Esiehdot!E$5=IFERROR(VLOOKUP(F407,Valintalistat!E$2:H$5,4,0),99),1,0)</f>
        <v>0</v>
      </c>
      <c r="AE407" s="44">
        <f>IF(Esiehdot!E$6=IFERROR(VLOOKUP(G407,Valintalistat!F$2:H$5,3,0),99),1,0)</f>
        <v>0</v>
      </c>
      <c r="AF407" s="44">
        <f>IF(Esiehdot!E$8=IFERROR(VLOOKUP(H407,Valintalistat!G$2:H$3,2,0),98),1,0)</f>
        <v>0</v>
      </c>
      <c r="AG407" s="43">
        <f t="shared" si="57"/>
        <v>0</v>
      </c>
      <c r="AH407" s="43">
        <f>IFERROR(HLOOKUP(Esiehdot!$B$17,Käyttötapauskriteerit!G$1:P223,407,0),1)</f>
        <v>1</v>
      </c>
      <c r="AI407" s="43">
        <f t="shared" si="58"/>
        <v>0</v>
      </c>
      <c r="AJ407" s="43">
        <f t="shared" si="59"/>
        <v>0</v>
      </c>
      <c r="AK407" s="43">
        <f t="shared" si="60"/>
        <v>0</v>
      </c>
      <c r="AL407" s="43">
        <f t="shared" si="61"/>
        <v>0</v>
      </c>
      <c r="AM407" s="43"/>
      <c r="AN407" s="45" t="str">
        <f t="shared" si="62"/>
        <v/>
      </c>
    </row>
    <row r="408" spans="1:40" ht="15.6">
      <c r="A408" s="5"/>
      <c r="B408" s="5"/>
      <c r="E408" s="17"/>
      <c r="F408" s="17"/>
      <c r="G408" s="17"/>
      <c r="H408" s="17"/>
      <c r="I408" s="17"/>
      <c r="J408" s="17"/>
      <c r="K408" s="17"/>
      <c r="L408" s="32"/>
      <c r="M408" s="61"/>
      <c r="N408" s="23"/>
      <c r="O408" s="23"/>
      <c r="P408" s="9"/>
      <c r="Q408" s="9"/>
      <c r="R408" s="9"/>
      <c r="S408" s="9"/>
      <c r="U408" s="42" t="str">
        <f t="shared" si="54"/>
        <v>, L:, E:, S:, TS:</v>
      </c>
      <c r="V408" s="42" t="str">
        <f t="shared" si="55"/>
        <v/>
      </c>
      <c r="W408" s="43">
        <f>IFERROR(VLOOKUP(A408,Esiehdot!A$11:D$15,4,0), 0)</f>
        <v>0</v>
      </c>
      <c r="X408" s="44">
        <f>IF(Esiehdot!D$4&gt;=IFERROR(VLOOKUP(E408,Valintalistat!D$2:H$7,5,0), 99),1,0)</f>
        <v>0</v>
      </c>
      <c r="Y408" s="44">
        <f>IF(Esiehdot!D$5&gt;=IFERROR(VLOOKUP(F408,Valintalistat!E$2:H$5,4,0), 99),1,0)</f>
        <v>0</v>
      </c>
      <c r="Z408" s="44">
        <f>IF(Esiehdot!D$6&gt;=IFERROR(VLOOKUP(G408,Valintalistat!F$2:H$5,3,0),99),1,0)</f>
        <v>0</v>
      </c>
      <c r="AA408" s="44">
        <f>IF(Esiehdot!D$8&gt;=IFERROR(VLOOKUP(H408,Valintalistat!G$2:H$5,2,0),99),1,0)</f>
        <v>0</v>
      </c>
      <c r="AB408" s="43">
        <f t="shared" si="56"/>
        <v>0</v>
      </c>
      <c r="AC408" s="44">
        <f>IF(Esiehdot!E$4=IFERROR(VLOOKUP(E408,Valintalistat!D$2:H$7,5,0),99),1,0)</f>
        <v>0</v>
      </c>
      <c r="AD408" s="44">
        <f>IF(Esiehdot!E$5=IFERROR(VLOOKUP(F408,Valintalistat!E$2:H$5,4,0),99),1,0)</f>
        <v>0</v>
      </c>
      <c r="AE408" s="44">
        <f>IF(Esiehdot!E$6=IFERROR(VLOOKUP(G408,Valintalistat!F$2:H$5,3,0),99),1,0)</f>
        <v>0</v>
      </c>
      <c r="AF408" s="44">
        <f>IF(Esiehdot!E$8=IFERROR(VLOOKUP(H408,Valintalistat!G$2:H$3,2,0),98),1,0)</f>
        <v>0</v>
      </c>
      <c r="AG408" s="43">
        <f t="shared" si="57"/>
        <v>0</v>
      </c>
      <c r="AH408" s="43">
        <f>IFERROR(HLOOKUP(Esiehdot!$B$17,Käyttötapauskriteerit!G$1:P223,408,0),1)</f>
        <v>1</v>
      </c>
      <c r="AI408" s="43">
        <f t="shared" si="58"/>
        <v>0</v>
      </c>
      <c r="AJ408" s="43">
        <f t="shared" si="59"/>
        <v>0</v>
      </c>
      <c r="AK408" s="43">
        <f t="shared" si="60"/>
        <v>0</v>
      </c>
      <c r="AL408" s="43">
        <f t="shared" si="61"/>
        <v>0</v>
      </c>
      <c r="AM408" s="43"/>
      <c r="AN408" s="45" t="str">
        <f t="shared" si="62"/>
        <v/>
      </c>
    </row>
    <row r="409" spans="1:40" ht="15.6">
      <c r="A409" s="5"/>
      <c r="B409" s="5"/>
      <c r="E409" s="17"/>
      <c r="F409" s="17"/>
      <c r="G409" s="17"/>
      <c r="H409" s="17"/>
      <c r="I409" s="17"/>
      <c r="J409" s="17"/>
      <c r="K409" s="17"/>
      <c r="L409" s="32"/>
      <c r="M409" s="61"/>
      <c r="N409" s="23"/>
      <c r="O409" s="23"/>
      <c r="P409" s="9"/>
      <c r="Q409" s="9"/>
      <c r="R409" s="9"/>
      <c r="S409" s="9"/>
      <c r="U409" s="42" t="str">
        <f t="shared" si="54"/>
        <v>, L:, E:, S:, TS:</v>
      </c>
      <c r="V409" s="42" t="str">
        <f t="shared" si="55"/>
        <v/>
      </c>
      <c r="W409" s="43">
        <f>IFERROR(VLOOKUP(A409,Esiehdot!A$11:D$15,4,0), 0)</f>
        <v>0</v>
      </c>
      <c r="X409" s="44">
        <f>IF(Esiehdot!D$4&gt;=IFERROR(VLOOKUP(E409,Valintalistat!D$2:H$7,5,0), 99),1,0)</f>
        <v>0</v>
      </c>
      <c r="Y409" s="44">
        <f>IF(Esiehdot!D$5&gt;=IFERROR(VLOOKUP(F409,Valintalistat!E$2:H$5,4,0), 99),1,0)</f>
        <v>0</v>
      </c>
      <c r="Z409" s="44">
        <f>IF(Esiehdot!D$6&gt;=IFERROR(VLOOKUP(G409,Valintalistat!F$2:H$5,3,0),99),1,0)</f>
        <v>0</v>
      </c>
      <c r="AA409" s="44">
        <f>IF(Esiehdot!D$8&gt;=IFERROR(VLOOKUP(H409,Valintalistat!G$2:H$5,2,0),99),1,0)</f>
        <v>0</v>
      </c>
      <c r="AB409" s="43">
        <f t="shared" si="56"/>
        <v>0</v>
      </c>
      <c r="AC409" s="44">
        <f>IF(Esiehdot!E$4=IFERROR(VLOOKUP(E409,Valintalistat!D$2:H$7,5,0),99),1,0)</f>
        <v>0</v>
      </c>
      <c r="AD409" s="44">
        <f>IF(Esiehdot!E$5=IFERROR(VLOOKUP(F409,Valintalistat!E$2:H$5,4,0),99),1,0)</f>
        <v>0</v>
      </c>
      <c r="AE409" s="44">
        <f>IF(Esiehdot!E$6=IFERROR(VLOOKUP(G409,Valintalistat!F$2:H$5,3,0),99),1,0)</f>
        <v>0</v>
      </c>
      <c r="AF409" s="44">
        <f>IF(Esiehdot!E$8=IFERROR(VLOOKUP(H409,Valintalistat!G$2:H$3,2,0),98),1,0)</f>
        <v>0</v>
      </c>
      <c r="AG409" s="43">
        <f t="shared" si="57"/>
        <v>0</v>
      </c>
      <c r="AH409" s="43">
        <f>IFERROR(HLOOKUP(Esiehdot!$B$17,Käyttötapauskriteerit!G$1:P223,409,0),1)</f>
        <v>1</v>
      </c>
      <c r="AI409" s="43">
        <f t="shared" si="58"/>
        <v>0</v>
      </c>
      <c r="AJ409" s="43">
        <f t="shared" si="59"/>
        <v>0</v>
      </c>
      <c r="AK409" s="43">
        <f t="shared" si="60"/>
        <v>0</v>
      </c>
      <c r="AL409" s="43">
        <f t="shared" si="61"/>
        <v>0</v>
      </c>
      <c r="AM409" s="43"/>
      <c r="AN409" s="45" t="str">
        <f t="shared" si="62"/>
        <v/>
      </c>
    </row>
    <row r="410" spans="1:40" ht="15.6">
      <c r="A410" s="5"/>
      <c r="B410" s="5"/>
      <c r="E410" s="17"/>
      <c r="F410" s="17"/>
      <c r="G410" s="17"/>
      <c r="H410" s="17"/>
      <c r="I410" s="17"/>
      <c r="J410" s="17"/>
      <c r="K410" s="17"/>
      <c r="L410" s="32"/>
      <c r="M410" s="61"/>
      <c r="N410" s="23"/>
      <c r="O410" s="23"/>
      <c r="P410" s="9"/>
      <c r="Q410" s="9"/>
      <c r="R410" s="9"/>
      <c r="S410" s="9"/>
      <c r="U410" s="42" t="str">
        <f t="shared" si="54"/>
        <v>, L:, E:, S:, TS:</v>
      </c>
      <c r="V410" s="42" t="str">
        <f t="shared" si="55"/>
        <v/>
      </c>
      <c r="W410" s="43">
        <f>IFERROR(VLOOKUP(A410,Esiehdot!A$11:D$15,4,0), 0)</f>
        <v>0</v>
      </c>
      <c r="X410" s="44">
        <f>IF(Esiehdot!D$4&gt;=IFERROR(VLOOKUP(E410,Valintalistat!D$2:H$7,5,0), 99),1,0)</f>
        <v>0</v>
      </c>
      <c r="Y410" s="44">
        <f>IF(Esiehdot!D$5&gt;=IFERROR(VLOOKUP(F410,Valintalistat!E$2:H$5,4,0), 99),1,0)</f>
        <v>0</v>
      </c>
      <c r="Z410" s="44">
        <f>IF(Esiehdot!D$6&gt;=IFERROR(VLOOKUP(G410,Valintalistat!F$2:H$5,3,0),99),1,0)</f>
        <v>0</v>
      </c>
      <c r="AA410" s="44">
        <f>IF(Esiehdot!D$8&gt;=IFERROR(VLOOKUP(H410,Valintalistat!G$2:H$5,2,0),99),1,0)</f>
        <v>0</v>
      </c>
      <c r="AB410" s="43">
        <f t="shared" si="56"/>
        <v>0</v>
      </c>
      <c r="AC410" s="44">
        <f>IF(Esiehdot!E$4=IFERROR(VLOOKUP(E410,Valintalistat!D$2:H$7,5,0),99),1,0)</f>
        <v>0</v>
      </c>
      <c r="AD410" s="44">
        <f>IF(Esiehdot!E$5=IFERROR(VLOOKUP(F410,Valintalistat!E$2:H$5,4,0),99),1,0)</f>
        <v>0</v>
      </c>
      <c r="AE410" s="44">
        <f>IF(Esiehdot!E$6=IFERROR(VLOOKUP(G410,Valintalistat!F$2:H$5,3,0),99),1,0)</f>
        <v>0</v>
      </c>
      <c r="AF410" s="44">
        <f>IF(Esiehdot!E$8=IFERROR(VLOOKUP(H410,Valintalistat!G$2:H$3,2,0),98),1,0)</f>
        <v>0</v>
      </c>
      <c r="AG410" s="43">
        <f t="shared" si="57"/>
        <v>0</v>
      </c>
      <c r="AH410" s="43">
        <f>IFERROR(HLOOKUP(Esiehdot!$B$17,Käyttötapauskriteerit!G$1:P223,410,0),1)</f>
        <v>1</v>
      </c>
      <c r="AI410" s="43">
        <f t="shared" si="58"/>
        <v>0</v>
      </c>
      <c r="AJ410" s="43">
        <f t="shared" si="59"/>
        <v>0</v>
      </c>
      <c r="AK410" s="43">
        <f t="shared" si="60"/>
        <v>0</v>
      </c>
      <c r="AL410" s="43">
        <f t="shared" si="61"/>
        <v>0</v>
      </c>
      <c r="AM410" s="43"/>
      <c r="AN410" s="45" t="str">
        <f t="shared" si="62"/>
        <v/>
      </c>
    </row>
    <row r="411" spans="1:40" ht="15.6">
      <c r="A411" s="5"/>
      <c r="B411" s="5"/>
      <c r="E411" s="17"/>
      <c r="F411" s="17"/>
      <c r="G411" s="17"/>
      <c r="H411" s="17"/>
      <c r="I411" s="17"/>
      <c r="J411" s="17"/>
      <c r="K411" s="17"/>
      <c r="L411" s="32"/>
      <c r="M411" s="61"/>
      <c r="N411" s="23"/>
      <c r="O411" s="23"/>
      <c r="P411" s="9"/>
      <c r="Q411" s="9"/>
      <c r="R411" s="9"/>
      <c r="S411" s="9"/>
      <c r="U411" s="42" t="str">
        <f t="shared" si="54"/>
        <v>, L:, E:, S:, TS:</v>
      </c>
      <c r="V411" s="42" t="str">
        <f t="shared" si="55"/>
        <v/>
      </c>
      <c r="W411" s="43">
        <f>IFERROR(VLOOKUP(A411,Esiehdot!A$11:D$15,4,0), 0)</f>
        <v>0</v>
      </c>
      <c r="X411" s="44">
        <f>IF(Esiehdot!D$4&gt;=IFERROR(VLOOKUP(E411,Valintalistat!D$2:H$7,5,0), 99),1,0)</f>
        <v>0</v>
      </c>
      <c r="Y411" s="44">
        <f>IF(Esiehdot!D$5&gt;=IFERROR(VLOOKUP(F411,Valintalistat!E$2:H$5,4,0), 99),1,0)</f>
        <v>0</v>
      </c>
      <c r="Z411" s="44">
        <f>IF(Esiehdot!D$6&gt;=IFERROR(VLOOKUP(G411,Valintalistat!F$2:H$5,3,0),99),1,0)</f>
        <v>0</v>
      </c>
      <c r="AA411" s="44">
        <f>IF(Esiehdot!D$8&gt;=IFERROR(VLOOKUP(H411,Valintalistat!G$2:H$5,2,0),99),1,0)</f>
        <v>0</v>
      </c>
      <c r="AB411" s="43">
        <f t="shared" si="56"/>
        <v>0</v>
      </c>
      <c r="AC411" s="44">
        <f>IF(Esiehdot!E$4=IFERROR(VLOOKUP(E411,Valintalistat!D$2:H$7,5,0),99),1,0)</f>
        <v>0</v>
      </c>
      <c r="AD411" s="44">
        <f>IF(Esiehdot!E$5=IFERROR(VLOOKUP(F411,Valintalistat!E$2:H$5,4,0),99),1,0)</f>
        <v>0</v>
      </c>
      <c r="AE411" s="44">
        <f>IF(Esiehdot!E$6=IFERROR(VLOOKUP(G411,Valintalistat!F$2:H$5,3,0),99),1,0)</f>
        <v>0</v>
      </c>
      <c r="AF411" s="44">
        <f>IF(Esiehdot!E$8=IFERROR(VLOOKUP(H411,Valintalistat!G$2:H$3,2,0),98),1,0)</f>
        <v>0</v>
      </c>
      <c r="AG411" s="43">
        <f t="shared" si="57"/>
        <v>0</v>
      </c>
      <c r="AH411" s="43">
        <f>IFERROR(HLOOKUP(Esiehdot!$B$17,Käyttötapauskriteerit!G$1:P223,411,0),1)</f>
        <v>1</v>
      </c>
      <c r="AI411" s="43">
        <f t="shared" si="58"/>
        <v>0</v>
      </c>
      <c r="AJ411" s="43">
        <f t="shared" si="59"/>
        <v>0</v>
      </c>
      <c r="AK411" s="43">
        <f t="shared" si="60"/>
        <v>0</v>
      </c>
      <c r="AL411" s="43">
        <f t="shared" si="61"/>
        <v>0</v>
      </c>
      <c r="AM411" s="43"/>
      <c r="AN411" s="45" t="str">
        <f t="shared" si="62"/>
        <v/>
      </c>
    </row>
    <row r="412" spans="1:40" ht="15.6">
      <c r="A412" s="5"/>
      <c r="B412" s="5"/>
      <c r="E412" s="17"/>
      <c r="F412" s="17"/>
      <c r="G412" s="17"/>
      <c r="H412" s="17"/>
      <c r="I412" s="17"/>
      <c r="J412" s="17"/>
      <c r="K412" s="17"/>
      <c r="L412" s="32"/>
      <c r="M412" s="61"/>
      <c r="N412" s="23"/>
      <c r="O412" s="23"/>
      <c r="P412" s="9"/>
      <c r="Q412" s="9"/>
      <c r="R412" s="9"/>
      <c r="S412" s="9"/>
      <c r="U412" s="42" t="str">
        <f t="shared" si="54"/>
        <v>, L:, E:, S:, TS:</v>
      </c>
      <c r="V412" s="42" t="str">
        <f t="shared" si="55"/>
        <v/>
      </c>
      <c r="W412" s="43">
        <f>IFERROR(VLOOKUP(A412,Esiehdot!A$11:D$15,4,0), 0)</f>
        <v>0</v>
      </c>
      <c r="X412" s="44">
        <f>IF(Esiehdot!D$4&gt;=IFERROR(VLOOKUP(E412,Valintalistat!D$2:H$7,5,0), 99),1,0)</f>
        <v>0</v>
      </c>
      <c r="Y412" s="44">
        <f>IF(Esiehdot!D$5&gt;=IFERROR(VLOOKUP(F412,Valintalistat!E$2:H$5,4,0), 99),1,0)</f>
        <v>0</v>
      </c>
      <c r="Z412" s="44">
        <f>IF(Esiehdot!D$6&gt;=IFERROR(VLOOKUP(G412,Valintalistat!F$2:H$5,3,0),99),1,0)</f>
        <v>0</v>
      </c>
      <c r="AA412" s="44">
        <f>IF(Esiehdot!D$8&gt;=IFERROR(VLOOKUP(H412,Valintalistat!G$2:H$5,2,0),99),1,0)</f>
        <v>0</v>
      </c>
      <c r="AB412" s="43">
        <f t="shared" si="56"/>
        <v>0</v>
      </c>
      <c r="AC412" s="44">
        <f>IF(Esiehdot!E$4=IFERROR(VLOOKUP(E412,Valintalistat!D$2:H$7,5,0),99),1,0)</f>
        <v>0</v>
      </c>
      <c r="AD412" s="44">
        <f>IF(Esiehdot!E$5=IFERROR(VLOOKUP(F412,Valintalistat!E$2:H$5,4,0),99),1,0)</f>
        <v>0</v>
      </c>
      <c r="AE412" s="44">
        <f>IF(Esiehdot!E$6=IFERROR(VLOOKUP(G412,Valintalistat!F$2:H$5,3,0),99),1,0)</f>
        <v>0</v>
      </c>
      <c r="AF412" s="44">
        <f>IF(Esiehdot!E$8=IFERROR(VLOOKUP(H412,Valintalistat!G$2:H$3,2,0),98),1,0)</f>
        <v>0</v>
      </c>
      <c r="AG412" s="43">
        <f t="shared" si="57"/>
        <v>0</v>
      </c>
      <c r="AH412" s="43">
        <f>IFERROR(HLOOKUP(Esiehdot!$B$17,Käyttötapauskriteerit!G$1:P223,412,0),1)</f>
        <v>1</v>
      </c>
      <c r="AI412" s="43">
        <f t="shared" si="58"/>
        <v>0</v>
      </c>
      <c r="AJ412" s="43">
        <f t="shared" si="59"/>
        <v>0</v>
      </c>
      <c r="AK412" s="43">
        <f t="shared" si="60"/>
        <v>0</v>
      </c>
      <c r="AL412" s="43">
        <f t="shared" si="61"/>
        <v>0</v>
      </c>
      <c r="AM412" s="43"/>
      <c r="AN412" s="45" t="str">
        <f t="shared" si="62"/>
        <v/>
      </c>
    </row>
    <row r="413" spans="1:40" ht="15.6">
      <c r="A413" s="5"/>
      <c r="B413" s="5"/>
      <c r="E413" s="17"/>
      <c r="F413" s="17"/>
      <c r="G413" s="17"/>
      <c r="H413" s="17"/>
      <c r="I413" s="17"/>
      <c r="J413" s="17"/>
      <c r="K413" s="17"/>
      <c r="L413" s="32"/>
      <c r="M413" s="61"/>
      <c r="N413" s="23"/>
      <c r="O413" s="23"/>
      <c r="P413" s="9"/>
      <c r="Q413" s="9"/>
      <c r="R413" s="9"/>
      <c r="S413" s="9"/>
      <c r="U413" s="42" t="str">
        <f t="shared" si="54"/>
        <v>, L:, E:, S:, TS:</v>
      </c>
      <c r="V413" s="42" t="str">
        <f t="shared" si="55"/>
        <v/>
      </c>
      <c r="W413" s="43">
        <f>IFERROR(VLOOKUP(A413,Esiehdot!A$11:D$15,4,0), 0)</f>
        <v>0</v>
      </c>
      <c r="X413" s="44">
        <f>IF(Esiehdot!D$4&gt;=IFERROR(VLOOKUP(E413,Valintalistat!D$2:H$7,5,0), 99),1,0)</f>
        <v>0</v>
      </c>
      <c r="Y413" s="44">
        <f>IF(Esiehdot!D$5&gt;=IFERROR(VLOOKUP(F413,Valintalistat!E$2:H$5,4,0), 99),1,0)</f>
        <v>0</v>
      </c>
      <c r="Z413" s="44">
        <f>IF(Esiehdot!D$6&gt;=IFERROR(VLOOKUP(G413,Valintalistat!F$2:H$5,3,0),99),1,0)</f>
        <v>0</v>
      </c>
      <c r="AA413" s="44">
        <f>IF(Esiehdot!D$8&gt;=IFERROR(VLOOKUP(H413,Valintalistat!G$2:H$5,2,0),99),1,0)</f>
        <v>0</v>
      </c>
      <c r="AB413" s="43">
        <f t="shared" si="56"/>
        <v>0</v>
      </c>
      <c r="AC413" s="44">
        <f>IF(Esiehdot!E$4=IFERROR(VLOOKUP(E413,Valintalistat!D$2:H$7,5,0),99),1,0)</f>
        <v>0</v>
      </c>
      <c r="AD413" s="44">
        <f>IF(Esiehdot!E$5=IFERROR(VLOOKUP(F413,Valintalistat!E$2:H$5,4,0),99),1,0)</f>
        <v>0</v>
      </c>
      <c r="AE413" s="44">
        <f>IF(Esiehdot!E$6=IFERROR(VLOOKUP(G413,Valintalistat!F$2:H$5,3,0),99),1,0)</f>
        <v>0</v>
      </c>
      <c r="AF413" s="44">
        <f>IF(Esiehdot!E$8=IFERROR(VLOOKUP(H413,Valintalistat!G$2:H$3,2,0),98),1,0)</f>
        <v>0</v>
      </c>
      <c r="AG413" s="43">
        <f t="shared" si="57"/>
        <v>0</v>
      </c>
      <c r="AH413" s="43">
        <f>IFERROR(HLOOKUP(Esiehdot!$B$17,Käyttötapauskriteerit!G$1:P223,413,0),1)</f>
        <v>1</v>
      </c>
      <c r="AI413" s="43">
        <f t="shared" si="58"/>
        <v>0</v>
      </c>
      <c r="AJ413" s="43">
        <f t="shared" si="59"/>
        <v>0</v>
      </c>
      <c r="AK413" s="43">
        <f t="shared" si="60"/>
        <v>0</v>
      </c>
      <c r="AL413" s="43">
        <f t="shared" si="61"/>
        <v>0</v>
      </c>
      <c r="AM413" s="43"/>
      <c r="AN413" s="45" t="str">
        <f t="shared" si="62"/>
        <v/>
      </c>
    </row>
    <row r="414" spans="1:40" ht="15.6">
      <c r="A414" s="5"/>
      <c r="B414" s="5"/>
      <c r="E414" s="17"/>
      <c r="F414" s="17"/>
      <c r="G414" s="17"/>
      <c r="H414" s="17"/>
      <c r="I414" s="17"/>
      <c r="J414" s="17"/>
      <c r="K414" s="17"/>
      <c r="L414" s="32"/>
      <c r="M414" s="61"/>
      <c r="N414" s="23"/>
      <c r="O414" s="23"/>
      <c r="P414" s="9"/>
      <c r="Q414" s="9"/>
      <c r="R414" s="9"/>
      <c r="S414" s="9"/>
      <c r="U414" s="42" t="str">
        <f t="shared" si="54"/>
        <v>, L:, E:, S:, TS:</v>
      </c>
      <c r="V414" s="42" t="str">
        <f t="shared" si="55"/>
        <v/>
      </c>
      <c r="W414" s="43">
        <f>IFERROR(VLOOKUP(A414,Esiehdot!A$11:D$15,4,0), 0)</f>
        <v>0</v>
      </c>
      <c r="X414" s="44">
        <f>IF(Esiehdot!D$4&gt;=IFERROR(VLOOKUP(E414,Valintalistat!D$2:H$7,5,0), 99),1,0)</f>
        <v>0</v>
      </c>
      <c r="Y414" s="44">
        <f>IF(Esiehdot!D$5&gt;=IFERROR(VLOOKUP(F414,Valintalistat!E$2:H$5,4,0), 99),1,0)</f>
        <v>0</v>
      </c>
      <c r="Z414" s="44">
        <f>IF(Esiehdot!D$6&gt;=IFERROR(VLOOKUP(G414,Valintalistat!F$2:H$5,3,0),99),1,0)</f>
        <v>0</v>
      </c>
      <c r="AA414" s="44">
        <f>IF(Esiehdot!D$8&gt;=IFERROR(VLOOKUP(H414,Valintalistat!G$2:H$5,2,0),99),1,0)</f>
        <v>0</v>
      </c>
      <c r="AB414" s="43">
        <f t="shared" si="56"/>
        <v>0</v>
      </c>
      <c r="AC414" s="44">
        <f>IF(Esiehdot!E$4=IFERROR(VLOOKUP(E414,Valintalistat!D$2:H$7,5,0),99),1,0)</f>
        <v>0</v>
      </c>
      <c r="AD414" s="44">
        <f>IF(Esiehdot!E$5=IFERROR(VLOOKUP(F414,Valintalistat!E$2:H$5,4,0),99),1,0)</f>
        <v>0</v>
      </c>
      <c r="AE414" s="44">
        <f>IF(Esiehdot!E$6=IFERROR(VLOOKUP(G414,Valintalistat!F$2:H$5,3,0),99),1,0)</f>
        <v>0</v>
      </c>
      <c r="AF414" s="44">
        <f>IF(Esiehdot!E$8=IFERROR(VLOOKUP(H414,Valintalistat!G$2:H$3,2,0),98),1,0)</f>
        <v>0</v>
      </c>
      <c r="AG414" s="43">
        <f t="shared" si="57"/>
        <v>0</v>
      </c>
      <c r="AH414" s="43">
        <f>IFERROR(HLOOKUP(Esiehdot!$B$17,Käyttötapauskriteerit!G$1:P223,414,0),1)</f>
        <v>1</v>
      </c>
      <c r="AI414" s="43">
        <f t="shared" si="58"/>
        <v>0</v>
      </c>
      <c r="AJ414" s="43">
        <f t="shared" si="59"/>
        <v>0</v>
      </c>
      <c r="AK414" s="43">
        <f t="shared" si="60"/>
        <v>0</v>
      </c>
      <c r="AL414" s="43">
        <f t="shared" si="61"/>
        <v>0</v>
      </c>
      <c r="AM414" s="43"/>
      <c r="AN414" s="45" t="str">
        <f t="shared" si="62"/>
        <v/>
      </c>
    </row>
    <row r="415" spans="1:40" ht="15.6">
      <c r="A415" s="5"/>
      <c r="B415" s="5"/>
      <c r="E415" s="17"/>
      <c r="F415" s="17"/>
      <c r="G415" s="17"/>
      <c r="H415" s="17"/>
      <c r="I415" s="17"/>
      <c r="J415" s="17"/>
      <c r="K415" s="17"/>
      <c r="L415" s="32"/>
      <c r="M415" s="61"/>
      <c r="N415" s="23"/>
      <c r="O415" s="23"/>
      <c r="P415" s="9"/>
      <c r="Q415" s="9"/>
      <c r="R415" s="9"/>
      <c r="S415" s="9"/>
      <c r="U415" s="42" t="str">
        <f t="shared" si="54"/>
        <v>, L:, E:, S:, TS:</v>
      </c>
      <c r="V415" s="42" t="str">
        <f t="shared" si="55"/>
        <v/>
      </c>
      <c r="W415" s="43">
        <f>IFERROR(VLOOKUP(A415,Esiehdot!A$11:D$15,4,0), 0)</f>
        <v>0</v>
      </c>
      <c r="X415" s="44">
        <f>IF(Esiehdot!D$4&gt;=IFERROR(VLOOKUP(E415,Valintalistat!D$2:H$7,5,0), 99),1,0)</f>
        <v>0</v>
      </c>
      <c r="Y415" s="44">
        <f>IF(Esiehdot!D$5&gt;=IFERROR(VLOOKUP(F415,Valintalistat!E$2:H$5,4,0), 99),1,0)</f>
        <v>0</v>
      </c>
      <c r="Z415" s="44">
        <f>IF(Esiehdot!D$6&gt;=IFERROR(VLOOKUP(G415,Valintalistat!F$2:H$5,3,0),99),1,0)</f>
        <v>0</v>
      </c>
      <c r="AA415" s="44">
        <f>IF(Esiehdot!D$8&gt;=IFERROR(VLOOKUP(H415,Valintalistat!G$2:H$5,2,0),99),1,0)</f>
        <v>0</v>
      </c>
      <c r="AB415" s="43">
        <f t="shared" si="56"/>
        <v>0</v>
      </c>
      <c r="AC415" s="44">
        <f>IF(Esiehdot!E$4=IFERROR(VLOOKUP(E415,Valintalistat!D$2:H$7,5,0),99),1,0)</f>
        <v>0</v>
      </c>
      <c r="AD415" s="44">
        <f>IF(Esiehdot!E$5=IFERROR(VLOOKUP(F415,Valintalistat!E$2:H$5,4,0),99),1,0)</f>
        <v>0</v>
      </c>
      <c r="AE415" s="44">
        <f>IF(Esiehdot!E$6=IFERROR(VLOOKUP(G415,Valintalistat!F$2:H$5,3,0),99),1,0)</f>
        <v>0</v>
      </c>
      <c r="AF415" s="44">
        <f>IF(Esiehdot!E$8=IFERROR(VLOOKUP(H415,Valintalistat!G$2:H$3,2,0),98),1,0)</f>
        <v>0</v>
      </c>
      <c r="AG415" s="43">
        <f t="shared" si="57"/>
        <v>0</v>
      </c>
      <c r="AH415" s="43">
        <f>IFERROR(HLOOKUP(Esiehdot!$B$17,Käyttötapauskriteerit!G$1:P223,415,0),1)</f>
        <v>1</v>
      </c>
      <c r="AI415" s="43">
        <f t="shared" si="58"/>
        <v>0</v>
      </c>
      <c r="AJ415" s="43">
        <f t="shared" si="59"/>
        <v>0</v>
      </c>
      <c r="AK415" s="43">
        <f t="shared" si="60"/>
        <v>0</v>
      </c>
      <c r="AL415" s="43">
        <f t="shared" si="61"/>
        <v>0</v>
      </c>
      <c r="AM415" s="43"/>
      <c r="AN415" s="45" t="str">
        <f t="shared" si="62"/>
        <v/>
      </c>
    </row>
    <row r="416" spans="1:40" ht="15.6">
      <c r="A416" s="5"/>
      <c r="B416" s="5"/>
      <c r="E416" s="17"/>
      <c r="F416" s="17"/>
      <c r="G416" s="17"/>
      <c r="H416" s="17"/>
      <c r="I416" s="17"/>
      <c r="J416" s="17"/>
      <c r="K416" s="17"/>
      <c r="L416" s="32"/>
      <c r="M416" s="61"/>
      <c r="N416" s="23"/>
      <c r="O416" s="23"/>
      <c r="P416" s="9"/>
      <c r="Q416" s="9"/>
      <c r="R416" s="9"/>
      <c r="S416" s="9"/>
      <c r="U416" s="42" t="str">
        <f t="shared" si="54"/>
        <v>, L:, E:, S:, TS:</v>
      </c>
      <c r="V416" s="42" t="str">
        <f t="shared" si="55"/>
        <v/>
      </c>
      <c r="W416" s="43">
        <f>IFERROR(VLOOKUP(A416,Esiehdot!A$11:D$15,4,0), 0)</f>
        <v>0</v>
      </c>
      <c r="X416" s="44">
        <f>IF(Esiehdot!D$4&gt;=IFERROR(VLOOKUP(E416,Valintalistat!D$2:H$7,5,0), 99),1,0)</f>
        <v>0</v>
      </c>
      <c r="Y416" s="44">
        <f>IF(Esiehdot!D$5&gt;=IFERROR(VLOOKUP(F416,Valintalistat!E$2:H$5,4,0), 99),1,0)</f>
        <v>0</v>
      </c>
      <c r="Z416" s="44">
        <f>IF(Esiehdot!D$6&gt;=IFERROR(VLOOKUP(G416,Valintalistat!F$2:H$5,3,0),99),1,0)</f>
        <v>0</v>
      </c>
      <c r="AA416" s="44">
        <f>IF(Esiehdot!D$8&gt;=IFERROR(VLOOKUP(H416,Valintalistat!G$2:H$5,2,0),99),1,0)</f>
        <v>0</v>
      </c>
      <c r="AB416" s="43">
        <f t="shared" si="56"/>
        <v>0</v>
      </c>
      <c r="AC416" s="44">
        <f>IF(Esiehdot!E$4=IFERROR(VLOOKUP(E416,Valintalistat!D$2:H$7,5,0),99),1,0)</f>
        <v>0</v>
      </c>
      <c r="AD416" s="44">
        <f>IF(Esiehdot!E$5=IFERROR(VLOOKUP(F416,Valintalistat!E$2:H$5,4,0),99),1,0)</f>
        <v>0</v>
      </c>
      <c r="AE416" s="44">
        <f>IF(Esiehdot!E$6=IFERROR(VLOOKUP(G416,Valintalistat!F$2:H$5,3,0),99),1,0)</f>
        <v>0</v>
      </c>
      <c r="AF416" s="44">
        <f>IF(Esiehdot!E$8=IFERROR(VLOOKUP(H416,Valintalistat!G$2:H$3,2,0),98),1,0)</f>
        <v>0</v>
      </c>
      <c r="AG416" s="43">
        <f t="shared" si="57"/>
        <v>0</v>
      </c>
      <c r="AH416" s="43">
        <f>IFERROR(HLOOKUP(Esiehdot!$B$17,Käyttötapauskriteerit!G$1:P223,416,0),1)</f>
        <v>1</v>
      </c>
      <c r="AI416" s="43">
        <f t="shared" si="58"/>
        <v>0</v>
      </c>
      <c r="AJ416" s="43">
        <f t="shared" si="59"/>
        <v>0</v>
      </c>
      <c r="AK416" s="43">
        <f t="shared" si="60"/>
        <v>0</v>
      </c>
      <c r="AL416" s="43">
        <f t="shared" si="61"/>
        <v>0</v>
      </c>
      <c r="AM416" s="43"/>
      <c r="AN416" s="45" t="str">
        <f t="shared" si="62"/>
        <v/>
      </c>
    </row>
    <row r="417" spans="1:40" ht="15.6">
      <c r="A417" s="5"/>
      <c r="B417" s="5"/>
      <c r="E417" s="17"/>
      <c r="F417" s="17"/>
      <c r="G417" s="17"/>
      <c r="H417" s="17"/>
      <c r="I417" s="17"/>
      <c r="J417" s="17"/>
      <c r="K417" s="17"/>
      <c r="L417" s="32"/>
      <c r="M417" s="61"/>
      <c r="N417" s="23"/>
      <c r="O417" s="23"/>
      <c r="P417" s="9"/>
      <c r="Q417" s="9"/>
      <c r="R417" s="9"/>
      <c r="S417" s="9"/>
      <c r="U417" s="42" t="str">
        <f t="shared" si="54"/>
        <v>, L:, E:, S:, TS:</v>
      </c>
      <c r="V417" s="42" t="str">
        <f t="shared" si="55"/>
        <v/>
      </c>
      <c r="W417" s="43">
        <f>IFERROR(VLOOKUP(A417,Esiehdot!A$11:D$15,4,0), 0)</f>
        <v>0</v>
      </c>
      <c r="X417" s="44">
        <f>IF(Esiehdot!D$4&gt;=IFERROR(VLOOKUP(E417,Valintalistat!D$2:H$7,5,0), 99),1,0)</f>
        <v>0</v>
      </c>
      <c r="Y417" s="44">
        <f>IF(Esiehdot!D$5&gt;=IFERROR(VLOOKUP(F417,Valintalistat!E$2:H$5,4,0), 99),1,0)</f>
        <v>0</v>
      </c>
      <c r="Z417" s="44">
        <f>IF(Esiehdot!D$6&gt;=IFERROR(VLOOKUP(G417,Valintalistat!F$2:H$5,3,0),99),1,0)</f>
        <v>0</v>
      </c>
      <c r="AA417" s="44">
        <f>IF(Esiehdot!D$8&gt;=IFERROR(VLOOKUP(H417,Valintalistat!G$2:H$5,2,0),99),1,0)</f>
        <v>0</v>
      </c>
      <c r="AB417" s="43">
        <f t="shared" si="56"/>
        <v>0</v>
      </c>
      <c r="AC417" s="44">
        <f>IF(Esiehdot!E$4=IFERROR(VLOOKUP(E417,Valintalistat!D$2:H$7,5,0),99),1,0)</f>
        <v>0</v>
      </c>
      <c r="AD417" s="44">
        <f>IF(Esiehdot!E$5=IFERROR(VLOOKUP(F417,Valintalistat!E$2:H$5,4,0),99),1,0)</f>
        <v>0</v>
      </c>
      <c r="AE417" s="44">
        <f>IF(Esiehdot!E$6=IFERROR(VLOOKUP(G417,Valintalistat!F$2:H$5,3,0),99),1,0)</f>
        <v>0</v>
      </c>
      <c r="AF417" s="44">
        <f>IF(Esiehdot!E$8=IFERROR(VLOOKUP(H417,Valintalistat!G$2:H$3,2,0),98),1,0)</f>
        <v>0</v>
      </c>
      <c r="AG417" s="43">
        <f t="shared" si="57"/>
        <v>0</v>
      </c>
      <c r="AH417" s="43">
        <f>IFERROR(HLOOKUP(Esiehdot!$B$17,Käyttötapauskriteerit!G$1:P223,417,0),1)</f>
        <v>1</v>
      </c>
      <c r="AI417" s="43">
        <f t="shared" si="58"/>
        <v>0</v>
      </c>
      <c r="AJ417" s="43">
        <f t="shared" si="59"/>
        <v>0</v>
      </c>
      <c r="AK417" s="43">
        <f t="shared" si="60"/>
        <v>0</v>
      </c>
      <c r="AL417" s="43">
        <f t="shared" si="61"/>
        <v>0</v>
      </c>
      <c r="AM417" s="43"/>
      <c r="AN417" s="45" t="str">
        <f t="shared" si="62"/>
        <v/>
      </c>
    </row>
    <row r="418" spans="1:40" ht="15.6">
      <c r="A418" s="5"/>
      <c r="B418" s="5"/>
      <c r="E418" s="17"/>
      <c r="F418" s="17"/>
      <c r="G418" s="17"/>
      <c r="H418" s="17"/>
      <c r="I418" s="17"/>
      <c r="J418" s="17"/>
      <c r="K418" s="17"/>
      <c r="L418" s="32"/>
      <c r="M418" s="61"/>
      <c r="N418" s="23"/>
      <c r="O418" s="23"/>
      <c r="P418" s="9"/>
      <c r="Q418" s="9"/>
      <c r="R418" s="9"/>
      <c r="S418" s="9"/>
      <c r="U418" s="42" t="str">
        <f t="shared" si="54"/>
        <v>, L:, E:, S:, TS:</v>
      </c>
      <c r="V418" s="42" t="str">
        <f t="shared" si="55"/>
        <v/>
      </c>
      <c r="W418" s="43">
        <f>IFERROR(VLOOKUP(A418,Esiehdot!A$11:D$15,4,0), 0)</f>
        <v>0</v>
      </c>
      <c r="X418" s="44">
        <f>IF(Esiehdot!D$4&gt;=IFERROR(VLOOKUP(E418,Valintalistat!D$2:H$7,5,0), 99),1,0)</f>
        <v>0</v>
      </c>
      <c r="Y418" s="44">
        <f>IF(Esiehdot!D$5&gt;=IFERROR(VLOOKUP(F418,Valintalistat!E$2:H$5,4,0), 99),1,0)</f>
        <v>0</v>
      </c>
      <c r="Z418" s="44">
        <f>IF(Esiehdot!D$6&gt;=IFERROR(VLOOKUP(G418,Valintalistat!F$2:H$5,3,0),99),1,0)</f>
        <v>0</v>
      </c>
      <c r="AA418" s="44">
        <f>IF(Esiehdot!D$8&gt;=IFERROR(VLOOKUP(H418,Valintalistat!G$2:H$5,2,0),99),1,0)</f>
        <v>0</v>
      </c>
      <c r="AB418" s="43">
        <f t="shared" si="56"/>
        <v>0</v>
      </c>
      <c r="AC418" s="44">
        <f>IF(Esiehdot!E$4=IFERROR(VLOOKUP(E418,Valintalistat!D$2:H$7,5,0),99),1,0)</f>
        <v>0</v>
      </c>
      <c r="AD418" s="44">
        <f>IF(Esiehdot!E$5=IFERROR(VLOOKUP(F418,Valintalistat!E$2:H$5,4,0),99),1,0)</f>
        <v>0</v>
      </c>
      <c r="AE418" s="44">
        <f>IF(Esiehdot!E$6=IFERROR(VLOOKUP(G418,Valintalistat!F$2:H$5,3,0),99),1,0)</f>
        <v>0</v>
      </c>
      <c r="AF418" s="44">
        <f>IF(Esiehdot!E$8=IFERROR(VLOOKUP(H418,Valintalistat!G$2:H$3,2,0),98),1,0)</f>
        <v>0</v>
      </c>
      <c r="AG418" s="43">
        <f t="shared" si="57"/>
        <v>0</v>
      </c>
      <c r="AH418" s="43">
        <f>IFERROR(HLOOKUP(Esiehdot!$B$17,Käyttötapauskriteerit!G$1:P223,418,0),1)</f>
        <v>1</v>
      </c>
      <c r="AI418" s="43">
        <f t="shared" si="58"/>
        <v>0</v>
      </c>
      <c r="AJ418" s="43">
        <f t="shared" si="59"/>
        <v>0</v>
      </c>
      <c r="AK418" s="43">
        <f t="shared" si="60"/>
        <v>0</v>
      </c>
      <c r="AL418" s="43">
        <f t="shared" si="61"/>
        <v>0</v>
      </c>
      <c r="AM418" s="43"/>
      <c r="AN418" s="45" t="str">
        <f t="shared" si="62"/>
        <v/>
      </c>
    </row>
    <row r="419" spans="1:40" ht="15.6">
      <c r="A419" s="5"/>
      <c r="B419" s="5"/>
      <c r="E419" s="17"/>
      <c r="F419" s="17"/>
      <c r="G419" s="17"/>
      <c r="H419" s="17"/>
      <c r="I419" s="17"/>
      <c r="J419" s="17"/>
      <c r="K419" s="17"/>
      <c r="L419" s="32"/>
      <c r="M419" s="61"/>
      <c r="N419" s="23"/>
      <c r="O419" s="23"/>
      <c r="P419" s="9"/>
      <c r="Q419" s="9"/>
      <c r="R419" s="9"/>
      <c r="S419" s="9"/>
      <c r="U419" s="42" t="str">
        <f t="shared" si="54"/>
        <v>, L:, E:, S:, TS:</v>
      </c>
      <c r="V419" s="42" t="str">
        <f t="shared" si="55"/>
        <v/>
      </c>
      <c r="W419" s="43">
        <f>IFERROR(VLOOKUP(A419,Esiehdot!A$11:D$15,4,0), 0)</f>
        <v>0</v>
      </c>
      <c r="X419" s="44">
        <f>IF(Esiehdot!D$4&gt;=IFERROR(VLOOKUP(E419,Valintalistat!D$2:H$7,5,0), 99),1,0)</f>
        <v>0</v>
      </c>
      <c r="Y419" s="44">
        <f>IF(Esiehdot!D$5&gt;=IFERROR(VLOOKUP(F419,Valintalistat!E$2:H$5,4,0), 99),1,0)</f>
        <v>0</v>
      </c>
      <c r="Z419" s="44">
        <f>IF(Esiehdot!D$6&gt;=IFERROR(VLOOKUP(G419,Valintalistat!F$2:H$5,3,0),99),1,0)</f>
        <v>0</v>
      </c>
      <c r="AA419" s="44">
        <f>IF(Esiehdot!D$8&gt;=IFERROR(VLOOKUP(H419,Valintalistat!G$2:H$5,2,0),99),1,0)</f>
        <v>0</v>
      </c>
      <c r="AB419" s="43">
        <f t="shared" si="56"/>
        <v>0</v>
      </c>
      <c r="AC419" s="44">
        <f>IF(Esiehdot!E$4=IFERROR(VLOOKUP(E419,Valintalistat!D$2:H$7,5,0),99),1,0)</f>
        <v>0</v>
      </c>
      <c r="AD419" s="44">
        <f>IF(Esiehdot!E$5=IFERROR(VLOOKUP(F419,Valintalistat!E$2:H$5,4,0),99),1,0)</f>
        <v>0</v>
      </c>
      <c r="AE419" s="44">
        <f>IF(Esiehdot!E$6=IFERROR(VLOOKUP(G419,Valintalistat!F$2:H$5,3,0),99),1,0)</f>
        <v>0</v>
      </c>
      <c r="AF419" s="44">
        <f>IF(Esiehdot!E$8=IFERROR(VLOOKUP(H419,Valintalistat!G$2:H$3,2,0),98),1,0)</f>
        <v>0</v>
      </c>
      <c r="AG419" s="43">
        <f t="shared" si="57"/>
        <v>0</v>
      </c>
      <c r="AH419" s="43">
        <f>IFERROR(HLOOKUP(Esiehdot!$B$17,Käyttötapauskriteerit!G$1:P223,419,0),1)</f>
        <v>1</v>
      </c>
      <c r="AI419" s="43">
        <f t="shared" si="58"/>
        <v>0</v>
      </c>
      <c r="AJ419" s="43">
        <f t="shared" si="59"/>
        <v>0</v>
      </c>
      <c r="AK419" s="43">
        <f t="shared" si="60"/>
        <v>0</v>
      </c>
      <c r="AL419" s="43">
        <f t="shared" si="61"/>
        <v>0</v>
      </c>
      <c r="AM419" s="43"/>
      <c r="AN419" s="45" t="str">
        <f t="shared" si="62"/>
        <v/>
      </c>
    </row>
    <row r="420" spans="1:40" ht="15.6">
      <c r="A420" s="5"/>
      <c r="B420" s="5"/>
      <c r="E420" s="17"/>
      <c r="F420" s="17"/>
      <c r="G420" s="17"/>
      <c r="H420" s="17"/>
      <c r="I420" s="17"/>
      <c r="J420" s="17"/>
      <c r="K420" s="17"/>
      <c r="L420" s="32"/>
      <c r="M420" s="61"/>
      <c r="N420" s="23"/>
      <c r="O420" s="23"/>
      <c r="P420" s="9"/>
      <c r="Q420" s="9"/>
      <c r="R420" s="9"/>
      <c r="S420" s="9"/>
      <c r="U420" s="42" t="str">
        <f t="shared" si="54"/>
        <v>, L:, E:, S:, TS:</v>
      </c>
      <c r="V420" s="42" t="str">
        <f t="shared" si="55"/>
        <v/>
      </c>
      <c r="W420" s="43">
        <f>IFERROR(VLOOKUP(A420,Esiehdot!A$11:D$15,4,0), 0)</f>
        <v>0</v>
      </c>
      <c r="X420" s="44">
        <f>IF(Esiehdot!D$4&gt;=IFERROR(VLOOKUP(E420,Valintalistat!D$2:H$7,5,0), 99),1,0)</f>
        <v>0</v>
      </c>
      <c r="Y420" s="44">
        <f>IF(Esiehdot!D$5&gt;=IFERROR(VLOOKUP(F420,Valintalistat!E$2:H$5,4,0), 99),1,0)</f>
        <v>0</v>
      </c>
      <c r="Z420" s="44">
        <f>IF(Esiehdot!D$6&gt;=IFERROR(VLOOKUP(G420,Valintalistat!F$2:H$5,3,0),99),1,0)</f>
        <v>0</v>
      </c>
      <c r="AA420" s="44">
        <f>IF(Esiehdot!D$8&gt;=IFERROR(VLOOKUP(H420,Valintalistat!G$2:H$5,2,0),99),1,0)</f>
        <v>0</v>
      </c>
      <c r="AB420" s="43">
        <f t="shared" si="56"/>
        <v>0</v>
      </c>
      <c r="AC420" s="44">
        <f>IF(Esiehdot!E$4=IFERROR(VLOOKUP(E420,Valintalistat!D$2:H$7,5,0),99),1,0)</f>
        <v>0</v>
      </c>
      <c r="AD420" s="44">
        <f>IF(Esiehdot!E$5=IFERROR(VLOOKUP(F420,Valintalistat!E$2:H$5,4,0),99),1,0)</f>
        <v>0</v>
      </c>
      <c r="AE420" s="44">
        <f>IF(Esiehdot!E$6=IFERROR(VLOOKUP(G420,Valintalistat!F$2:H$5,3,0),99),1,0)</f>
        <v>0</v>
      </c>
      <c r="AF420" s="44">
        <f>IF(Esiehdot!E$8=IFERROR(VLOOKUP(H420,Valintalistat!G$2:H$3,2,0),98),1,0)</f>
        <v>0</v>
      </c>
      <c r="AG420" s="43">
        <f t="shared" si="57"/>
        <v>0</v>
      </c>
      <c r="AH420" s="43">
        <f>IFERROR(HLOOKUP(Esiehdot!$B$17,Käyttötapauskriteerit!G$1:P223,420,0),1)</f>
        <v>1</v>
      </c>
      <c r="AI420" s="43">
        <f t="shared" si="58"/>
        <v>0</v>
      </c>
      <c r="AJ420" s="43">
        <f t="shared" si="59"/>
        <v>0</v>
      </c>
      <c r="AK420" s="43">
        <f t="shared" si="60"/>
        <v>0</v>
      </c>
      <c r="AL420" s="43">
        <f t="shared" si="61"/>
        <v>0</v>
      </c>
      <c r="AM420" s="43"/>
      <c r="AN420" s="45" t="str">
        <f t="shared" si="62"/>
        <v/>
      </c>
    </row>
    <row r="421" spans="1:40" ht="15.6">
      <c r="A421" s="5"/>
      <c r="B421" s="5"/>
      <c r="E421" s="17"/>
      <c r="F421" s="17"/>
      <c r="G421" s="17"/>
      <c r="H421" s="17"/>
      <c r="I421" s="17"/>
      <c r="J421" s="17"/>
      <c r="K421" s="17"/>
      <c r="L421" s="32"/>
      <c r="M421" s="61"/>
      <c r="N421" s="23"/>
      <c r="O421" s="23"/>
      <c r="P421" s="9"/>
      <c r="Q421" s="9"/>
      <c r="R421" s="9"/>
      <c r="S421" s="9"/>
      <c r="U421" s="42" t="str">
        <f t="shared" si="54"/>
        <v>, L:, E:, S:, TS:</v>
      </c>
      <c r="V421" s="42" t="str">
        <f t="shared" si="55"/>
        <v/>
      </c>
      <c r="W421" s="43">
        <f>IFERROR(VLOOKUP(A421,Esiehdot!A$11:D$15,4,0), 0)</f>
        <v>0</v>
      </c>
      <c r="X421" s="44">
        <f>IF(Esiehdot!D$4&gt;=IFERROR(VLOOKUP(E421,Valintalistat!D$2:H$7,5,0), 99),1,0)</f>
        <v>0</v>
      </c>
      <c r="Y421" s="44">
        <f>IF(Esiehdot!D$5&gt;=IFERROR(VLOOKUP(F421,Valintalistat!E$2:H$5,4,0), 99),1,0)</f>
        <v>0</v>
      </c>
      <c r="Z421" s="44">
        <f>IF(Esiehdot!D$6&gt;=IFERROR(VLOOKUP(G421,Valintalistat!F$2:H$5,3,0),99),1,0)</f>
        <v>0</v>
      </c>
      <c r="AA421" s="44">
        <f>IF(Esiehdot!D$8&gt;=IFERROR(VLOOKUP(H421,Valintalistat!G$2:H$5,2,0),99),1,0)</f>
        <v>0</v>
      </c>
      <c r="AB421" s="43">
        <f t="shared" si="56"/>
        <v>0</v>
      </c>
      <c r="AC421" s="44">
        <f>IF(Esiehdot!E$4=IFERROR(VLOOKUP(E421,Valintalistat!D$2:H$7,5,0),99),1,0)</f>
        <v>0</v>
      </c>
      <c r="AD421" s="44">
        <f>IF(Esiehdot!E$5=IFERROR(VLOOKUP(F421,Valintalistat!E$2:H$5,4,0),99),1,0)</f>
        <v>0</v>
      </c>
      <c r="AE421" s="44">
        <f>IF(Esiehdot!E$6=IFERROR(VLOOKUP(G421,Valintalistat!F$2:H$5,3,0),99),1,0)</f>
        <v>0</v>
      </c>
      <c r="AF421" s="44">
        <f>IF(Esiehdot!E$8=IFERROR(VLOOKUP(H421,Valintalistat!G$2:H$3,2,0),98),1,0)</f>
        <v>0</v>
      </c>
      <c r="AG421" s="43">
        <f t="shared" si="57"/>
        <v>0</v>
      </c>
      <c r="AH421" s="43">
        <f>IFERROR(HLOOKUP(Esiehdot!$B$17,Käyttötapauskriteerit!G$1:P223,421,0),1)</f>
        <v>1</v>
      </c>
      <c r="AI421" s="43">
        <f t="shared" si="58"/>
        <v>0</v>
      </c>
      <c r="AJ421" s="43">
        <f t="shared" si="59"/>
        <v>0</v>
      </c>
      <c r="AK421" s="43">
        <f t="shared" si="60"/>
        <v>0</v>
      </c>
      <c r="AL421" s="43">
        <f t="shared" si="61"/>
        <v>0</v>
      </c>
      <c r="AM421" s="43"/>
      <c r="AN421" s="45" t="str">
        <f t="shared" si="62"/>
        <v/>
      </c>
    </row>
    <row r="422" spans="1:40" ht="15.6">
      <c r="A422" s="5"/>
      <c r="B422" s="5"/>
      <c r="E422" s="17"/>
      <c r="F422" s="17"/>
      <c r="G422" s="17"/>
      <c r="H422" s="17"/>
      <c r="I422" s="17"/>
      <c r="J422" s="17"/>
      <c r="K422" s="17"/>
      <c r="L422" s="32"/>
      <c r="M422" s="61"/>
      <c r="N422" s="23"/>
      <c r="O422" s="23"/>
      <c r="P422" s="9"/>
      <c r="Q422" s="9"/>
      <c r="R422" s="9"/>
      <c r="S422" s="9"/>
      <c r="U422" s="42" t="str">
        <f t="shared" si="54"/>
        <v>, L:, E:, S:, TS:</v>
      </c>
      <c r="V422" s="42" t="str">
        <f t="shared" si="55"/>
        <v/>
      </c>
      <c r="W422" s="43">
        <f>IFERROR(VLOOKUP(A422,Esiehdot!A$11:D$15,4,0), 0)</f>
        <v>0</v>
      </c>
      <c r="X422" s="44">
        <f>IF(Esiehdot!D$4&gt;=IFERROR(VLOOKUP(E422,Valintalistat!D$2:H$7,5,0), 99),1,0)</f>
        <v>0</v>
      </c>
      <c r="Y422" s="44">
        <f>IF(Esiehdot!D$5&gt;=IFERROR(VLOOKUP(F422,Valintalistat!E$2:H$5,4,0), 99),1,0)</f>
        <v>0</v>
      </c>
      <c r="Z422" s="44">
        <f>IF(Esiehdot!D$6&gt;=IFERROR(VLOOKUP(G422,Valintalistat!F$2:H$5,3,0),99),1,0)</f>
        <v>0</v>
      </c>
      <c r="AA422" s="44">
        <f>IF(Esiehdot!D$8&gt;=IFERROR(VLOOKUP(H422,Valintalistat!G$2:H$5,2,0),99),1,0)</f>
        <v>0</v>
      </c>
      <c r="AB422" s="43">
        <f t="shared" si="56"/>
        <v>0</v>
      </c>
      <c r="AC422" s="44">
        <f>IF(Esiehdot!E$4=IFERROR(VLOOKUP(E422,Valintalistat!D$2:H$7,5,0),99),1,0)</f>
        <v>0</v>
      </c>
      <c r="AD422" s="44">
        <f>IF(Esiehdot!E$5=IFERROR(VLOOKUP(F422,Valintalistat!E$2:H$5,4,0),99),1,0)</f>
        <v>0</v>
      </c>
      <c r="AE422" s="44">
        <f>IF(Esiehdot!E$6=IFERROR(VLOOKUP(G422,Valintalistat!F$2:H$5,3,0),99),1,0)</f>
        <v>0</v>
      </c>
      <c r="AF422" s="44">
        <f>IF(Esiehdot!E$8=IFERROR(VLOOKUP(H422,Valintalistat!G$2:H$3,2,0),98),1,0)</f>
        <v>0</v>
      </c>
      <c r="AG422" s="43">
        <f t="shared" si="57"/>
        <v>0</v>
      </c>
      <c r="AH422" s="43">
        <f>IFERROR(HLOOKUP(Esiehdot!$B$17,Käyttötapauskriteerit!G$1:P223,422,0),1)</f>
        <v>1</v>
      </c>
      <c r="AI422" s="43">
        <f t="shared" si="58"/>
        <v>0</v>
      </c>
      <c r="AJ422" s="43">
        <f t="shared" si="59"/>
        <v>0</v>
      </c>
      <c r="AK422" s="43">
        <f t="shared" si="60"/>
        <v>0</v>
      </c>
      <c r="AL422" s="43">
        <f t="shared" si="61"/>
        <v>0</v>
      </c>
      <c r="AM422" s="43"/>
      <c r="AN422" s="45" t="str">
        <f t="shared" si="62"/>
        <v/>
      </c>
    </row>
    <row r="423" spans="1:40" ht="15.6">
      <c r="A423" s="5"/>
      <c r="B423" s="5"/>
      <c r="E423" s="17"/>
      <c r="F423" s="17"/>
      <c r="G423" s="17"/>
      <c r="H423" s="17"/>
      <c r="I423" s="17"/>
      <c r="J423" s="17"/>
      <c r="K423" s="17"/>
      <c r="L423" s="32"/>
      <c r="M423" s="61"/>
      <c r="N423" s="23"/>
      <c r="O423" s="23"/>
      <c r="P423" s="9"/>
      <c r="Q423" s="9"/>
      <c r="R423" s="9"/>
      <c r="S423" s="9"/>
      <c r="U423" s="42" t="str">
        <f t="shared" si="54"/>
        <v>, L:, E:, S:, TS:</v>
      </c>
      <c r="V423" s="42" t="str">
        <f t="shared" si="55"/>
        <v/>
      </c>
      <c r="W423" s="43">
        <f>IFERROR(VLOOKUP(A423,Esiehdot!A$11:D$15,4,0), 0)</f>
        <v>0</v>
      </c>
      <c r="X423" s="44">
        <f>IF(Esiehdot!D$4&gt;=IFERROR(VLOOKUP(E423,Valintalistat!D$2:H$7,5,0), 99),1,0)</f>
        <v>0</v>
      </c>
      <c r="Y423" s="44">
        <f>IF(Esiehdot!D$5&gt;=IFERROR(VLOOKUP(F423,Valintalistat!E$2:H$5,4,0), 99),1,0)</f>
        <v>0</v>
      </c>
      <c r="Z423" s="44">
        <f>IF(Esiehdot!D$6&gt;=IFERROR(VLOOKUP(G423,Valintalistat!F$2:H$5,3,0),99),1,0)</f>
        <v>0</v>
      </c>
      <c r="AA423" s="44">
        <f>IF(Esiehdot!D$8&gt;=IFERROR(VLOOKUP(H423,Valintalistat!G$2:H$5,2,0),99),1,0)</f>
        <v>0</v>
      </c>
      <c r="AB423" s="43">
        <f t="shared" si="56"/>
        <v>0</v>
      </c>
      <c r="AC423" s="44">
        <f>IF(Esiehdot!E$4=IFERROR(VLOOKUP(E423,Valintalistat!D$2:H$7,5,0),99),1,0)</f>
        <v>0</v>
      </c>
      <c r="AD423" s="44">
        <f>IF(Esiehdot!E$5=IFERROR(VLOOKUP(F423,Valintalistat!E$2:H$5,4,0),99),1,0)</f>
        <v>0</v>
      </c>
      <c r="AE423" s="44">
        <f>IF(Esiehdot!E$6=IFERROR(VLOOKUP(G423,Valintalistat!F$2:H$5,3,0),99),1,0)</f>
        <v>0</v>
      </c>
      <c r="AF423" s="44">
        <f>IF(Esiehdot!E$8=IFERROR(VLOOKUP(H423,Valintalistat!G$2:H$3,2,0),98),1,0)</f>
        <v>0</v>
      </c>
      <c r="AG423" s="43">
        <f t="shared" si="57"/>
        <v>0</v>
      </c>
      <c r="AH423" s="43">
        <f>IFERROR(HLOOKUP(Esiehdot!$B$17,Käyttötapauskriteerit!G$1:P223,423,0),1)</f>
        <v>1</v>
      </c>
      <c r="AI423" s="43">
        <f t="shared" si="58"/>
        <v>0</v>
      </c>
      <c r="AJ423" s="43">
        <f t="shared" si="59"/>
        <v>0</v>
      </c>
      <c r="AK423" s="43">
        <f t="shared" si="60"/>
        <v>0</v>
      </c>
      <c r="AL423" s="43">
        <f t="shared" si="61"/>
        <v>0</v>
      </c>
      <c r="AM423" s="43"/>
      <c r="AN423" s="45" t="str">
        <f t="shared" si="62"/>
        <v/>
      </c>
    </row>
    <row r="424" spans="1:40" ht="15.6">
      <c r="A424" s="5"/>
      <c r="B424" s="5"/>
      <c r="E424" s="17"/>
      <c r="F424" s="17"/>
      <c r="G424" s="17"/>
      <c r="H424" s="17"/>
      <c r="I424" s="17"/>
      <c r="J424" s="17"/>
      <c r="K424" s="17"/>
      <c r="L424" s="32"/>
      <c r="M424" s="61"/>
      <c r="N424" s="23"/>
      <c r="O424" s="23"/>
      <c r="P424" s="9"/>
      <c r="Q424" s="9"/>
      <c r="R424" s="9"/>
      <c r="S424" s="9"/>
      <c r="U424" s="42" t="str">
        <f t="shared" si="54"/>
        <v>, L:, E:, S:, TS:</v>
      </c>
      <c r="V424" s="42" t="str">
        <f t="shared" si="55"/>
        <v/>
      </c>
      <c r="W424" s="43">
        <f>IFERROR(VLOOKUP(A424,Esiehdot!A$11:D$15,4,0), 0)</f>
        <v>0</v>
      </c>
      <c r="X424" s="44">
        <f>IF(Esiehdot!D$4&gt;=IFERROR(VLOOKUP(E424,Valintalistat!D$2:H$7,5,0), 99),1,0)</f>
        <v>0</v>
      </c>
      <c r="Y424" s="44">
        <f>IF(Esiehdot!D$5&gt;=IFERROR(VLOOKUP(F424,Valintalistat!E$2:H$5,4,0), 99),1,0)</f>
        <v>0</v>
      </c>
      <c r="Z424" s="44">
        <f>IF(Esiehdot!D$6&gt;=IFERROR(VLOOKUP(G424,Valintalistat!F$2:H$5,3,0),99),1,0)</f>
        <v>0</v>
      </c>
      <c r="AA424" s="44">
        <f>IF(Esiehdot!D$8&gt;=IFERROR(VLOOKUP(H424,Valintalistat!G$2:H$5,2,0),99),1,0)</f>
        <v>0</v>
      </c>
      <c r="AB424" s="43">
        <f t="shared" si="56"/>
        <v>0</v>
      </c>
      <c r="AC424" s="44">
        <f>IF(Esiehdot!E$4=IFERROR(VLOOKUP(E424,Valintalistat!D$2:H$7,5,0),99),1,0)</f>
        <v>0</v>
      </c>
      <c r="AD424" s="44">
        <f>IF(Esiehdot!E$5=IFERROR(VLOOKUP(F424,Valintalistat!E$2:H$5,4,0),99),1,0)</f>
        <v>0</v>
      </c>
      <c r="AE424" s="44">
        <f>IF(Esiehdot!E$6=IFERROR(VLOOKUP(G424,Valintalistat!F$2:H$5,3,0),99),1,0)</f>
        <v>0</v>
      </c>
      <c r="AF424" s="44">
        <f>IF(Esiehdot!E$8=IFERROR(VLOOKUP(H424,Valintalistat!G$2:H$3,2,0),98),1,0)</f>
        <v>0</v>
      </c>
      <c r="AG424" s="43">
        <f t="shared" si="57"/>
        <v>0</v>
      </c>
      <c r="AH424" s="43">
        <f>IFERROR(HLOOKUP(Esiehdot!$B$17,Käyttötapauskriteerit!G$1:P223,424,0),1)</f>
        <v>1</v>
      </c>
      <c r="AI424" s="43">
        <f t="shared" si="58"/>
        <v>0</v>
      </c>
      <c r="AJ424" s="43">
        <f t="shared" si="59"/>
        <v>0</v>
      </c>
      <c r="AK424" s="43">
        <f t="shared" si="60"/>
        <v>0</v>
      </c>
      <c r="AL424" s="43">
        <f t="shared" si="61"/>
        <v>0</v>
      </c>
      <c r="AM424" s="43"/>
      <c r="AN424" s="45" t="str">
        <f t="shared" si="62"/>
        <v/>
      </c>
    </row>
    <row r="425" spans="1:40" ht="15.6">
      <c r="A425" s="5"/>
      <c r="B425" s="5"/>
      <c r="E425" s="17"/>
      <c r="F425" s="17"/>
      <c r="G425" s="17"/>
      <c r="H425" s="17"/>
      <c r="I425" s="17"/>
      <c r="J425" s="17"/>
      <c r="K425" s="17"/>
      <c r="L425" s="32"/>
      <c r="M425" s="61"/>
      <c r="N425" s="23"/>
      <c r="O425" s="23"/>
      <c r="P425" s="9"/>
      <c r="Q425" s="9"/>
      <c r="R425" s="9"/>
      <c r="S425" s="9"/>
      <c r="U425" s="42" t="str">
        <f t="shared" si="54"/>
        <v>, L:, E:, S:, TS:</v>
      </c>
      <c r="V425" s="42" t="str">
        <f t="shared" si="55"/>
        <v/>
      </c>
      <c r="W425" s="43">
        <f>IFERROR(VLOOKUP(A425,Esiehdot!A$11:D$15,4,0), 0)</f>
        <v>0</v>
      </c>
      <c r="X425" s="44">
        <f>IF(Esiehdot!D$4&gt;=IFERROR(VLOOKUP(E425,Valintalistat!D$2:H$7,5,0), 99),1,0)</f>
        <v>0</v>
      </c>
      <c r="Y425" s="44">
        <f>IF(Esiehdot!D$5&gt;=IFERROR(VLOOKUP(F425,Valintalistat!E$2:H$5,4,0), 99),1,0)</f>
        <v>0</v>
      </c>
      <c r="Z425" s="44">
        <f>IF(Esiehdot!D$6&gt;=IFERROR(VLOOKUP(G425,Valintalistat!F$2:H$5,3,0),99),1,0)</f>
        <v>0</v>
      </c>
      <c r="AA425" s="44">
        <f>IF(Esiehdot!D$8&gt;=IFERROR(VLOOKUP(H425,Valintalistat!G$2:H$5,2,0),99),1,0)</f>
        <v>0</v>
      </c>
      <c r="AB425" s="43">
        <f t="shared" si="56"/>
        <v>0</v>
      </c>
      <c r="AC425" s="44">
        <f>IF(Esiehdot!E$4=IFERROR(VLOOKUP(E425,Valintalistat!D$2:H$7,5,0),99),1,0)</f>
        <v>0</v>
      </c>
      <c r="AD425" s="44">
        <f>IF(Esiehdot!E$5=IFERROR(VLOOKUP(F425,Valintalistat!E$2:H$5,4,0),99),1,0)</f>
        <v>0</v>
      </c>
      <c r="AE425" s="44">
        <f>IF(Esiehdot!E$6=IFERROR(VLOOKUP(G425,Valintalistat!F$2:H$5,3,0),99),1,0)</f>
        <v>0</v>
      </c>
      <c r="AF425" s="44">
        <f>IF(Esiehdot!E$8=IFERROR(VLOOKUP(H425,Valintalistat!G$2:H$3,2,0),98),1,0)</f>
        <v>0</v>
      </c>
      <c r="AG425" s="43">
        <f t="shared" si="57"/>
        <v>0</v>
      </c>
      <c r="AH425" s="43">
        <f>IFERROR(HLOOKUP(Esiehdot!$B$17,Käyttötapauskriteerit!G$1:P223,425,0),1)</f>
        <v>1</v>
      </c>
      <c r="AI425" s="43">
        <f t="shared" si="58"/>
        <v>0</v>
      </c>
      <c r="AJ425" s="43">
        <f t="shared" si="59"/>
        <v>0</v>
      </c>
      <c r="AK425" s="43">
        <f t="shared" si="60"/>
        <v>0</v>
      </c>
      <c r="AL425" s="43">
        <f t="shared" si="61"/>
        <v>0</v>
      </c>
      <c r="AM425" s="43"/>
      <c r="AN425" s="45" t="str">
        <f t="shared" si="62"/>
        <v/>
      </c>
    </row>
    <row r="426" spans="1:40" ht="15.6">
      <c r="A426" s="5"/>
      <c r="B426" s="5"/>
      <c r="E426" s="17"/>
      <c r="F426" s="17"/>
      <c r="G426" s="17"/>
      <c r="H426" s="17"/>
      <c r="I426" s="17"/>
      <c r="J426" s="17"/>
      <c r="K426" s="17"/>
      <c r="L426" s="32"/>
      <c r="M426" s="61"/>
      <c r="N426" s="23"/>
      <c r="O426" s="23"/>
      <c r="P426" s="9"/>
      <c r="Q426" s="9"/>
      <c r="R426" s="9"/>
      <c r="S426" s="9"/>
      <c r="U426" s="42" t="str">
        <f t="shared" si="54"/>
        <v>, L:, E:, S:, TS:</v>
      </c>
      <c r="V426" s="42" t="str">
        <f t="shared" si="55"/>
        <v/>
      </c>
      <c r="W426" s="43">
        <f>IFERROR(VLOOKUP(A426,Esiehdot!A$11:D$15,4,0), 0)</f>
        <v>0</v>
      </c>
      <c r="X426" s="44">
        <f>IF(Esiehdot!D$4&gt;=IFERROR(VLOOKUP(E426,Valintalistat!D$2:H$7,5,0), 99),1,0)</f>
        <v>0</v>
      </c>
      <c r="Y426" s="44">
        <f>IF(Esiehdot!D$5&gt;=IFERROR(VLOOKUP(F426,Valintalistat!E$2:H$5,4,0), 99),1,0)</f>
        <v>0</v>
      </c>
      <c r="Z426" s="44">
        <f>IF(Esiehdot!D$6&gt;=IFERROR(VLOOKUP(G426,Valintalistat!F$2:H$5,3,0),99),1,0)</f>
        <v>0</v>
      </c>
      <c r="AA426" s="44">
        <f>IF(Esiehdot!D$8&gt;=IFERROR(VLOOKUP(H426,Valintalistat!G$2:H$5,2,0),99),1,0)</f>
        <v>0</v>
      </c>
      <c r="AB426" s="43">
        <f t="shared" si="56"/>
        <v>0</v>
      </c>
      <c r="AC426" s="44">
        <f>IF(Esiehdot!E$4=IFERROR(VLOOKUP(E426,Valintalistat!D$2:H$7,5,0),99),1,0)</f>
        <v>0</v>
      </c>
      <c r="AD426" s="44">
        <f>IF(Esiehdot!E$5=IFERROR(VLOOKUP(F426,Valintalistat!E$2:H$5,4,0),99),1,0)</f>
        <v>0</v>
      </c>
      <c r="AE426" s="44">
        <f>IF(Esiehdot!E$6=IFERROR(VLOOKUP(G426,Valintalistat!F$2:H$5,3,0),99),1,0)</f>
        <v>0</v>
      </c>
      <c r="AF426" s="44">
        <f>IF(Esiehdot!E$8=IFERROR(VLOOKUP(H426,Valintalistat!G$2:H$3,2,0),98),1,0)</f>
        <v>0</v>
      </c>
      <c r="AG426" s="43">
        <f t="shared" si="57"/>
        <v>0</v>
      </c>
      <c r="AH426" s="43">
        <f>IFERROR(HLOOKUP(Esiehdot!$B$17,Käyttötapauskriteerit!G$1:P223,426,0),1)</f>
        <v>1</v>
      </c>
      <c r="AI426" s="43">
        <f t="shared" si="58"/>
        <v>0</v>
      </c>
      <c r="AJ426" s="43">
        <f t="shared" si="59"/>
        <v>0</v>
      </c>
      <c r="AK426" s="43">
        <f t="shared" si="60"/>
        <v>0</v>
      </c>
      <c r="AL426" s="43">
        <f t="shared" si="61"/>
        <v>0</v>
      </c>
      <c r="AM426" s="43"/>
      <c r="AN426" s="45" t="str">
        <f t="shared" si="62"/>
        <v/>
      </c>
    </row>
    <row r="427" spans="1:40" ht="15.6">
      <c r="A427" s="5"/>
      <c r="B427" s="5"/>
      <c r="E427" s="17"/>
      <c r="F427" s="17"/>
      <c r="G427" s="17"/>
      <c r="H427" s="17"/>
      <c r="I427" s="17"/>
      <c r="J427" s="17"/>
      <c r="K427" s="17"/>
      <c r="L427" s="32"/>
      <c r="M427" s="61"/>
      <c r="N427" s="23"/>
      <c r="O427" s="23"/>
      <c r="P427" s="9"/>
      <c r="Q427" s="9"/>
      <c r="R427" s="9"/>
      <c r="S427" s="9"/>
      <c r="U427" s="42" t="str">
        <f t="shared" si="54"/>
        <v>, L:, E:, S:, TS:</v>
      </c>
      <c r="V427" s="42" t="str">
        <f t="shared" si="55"/>
        <v/>
      </c>
      <c r="W427" s="43">
        <f>IFERROR(VLOOKUP(A427,Esiehdot!A$11:D$15,4,0), 0)</f>
        <v>0</v>
      </c>
      <c r="X427" s="44">
        <f>IF(Esiehdot!D$4&gt;=IFERROR(VLOOKUP(E427,Valintalistat!D$2:H$7,5,0), 99),1,0)</f>
        <v>0</v>
      </c>
      <c r="Y427" s="44">
        <f>IF(Esiehdot!D$5&gt;=IFERROR(VLOOKUP(F427,Valintalistat!E$2:H$5,4,0), 99),1,0)</f>
        <v>0</v>
      </c>
      <c r="Z427" s="44">
        <f>IF(Esiehdot!D$6&gt;=IFERROR(VLOOKUP(G427,Valintalistat!F$2:H$5,3,0),99),1,0)</f>
        <v>0</v>
      </c>
      <c r="AA427" s="44">
        <f>IF(Esiehdot!D$8&gt;=IFERROR(VLOOKUP(H427,Valintalistat!G$2:H$5,2,0),99),1,0)</f>
        <v>0</v>
      </c>
      <c r="AB427" s="43">
        <f t="shared" si="56"/>
        <v>0</v>
      </c>
      <c r="AC427" s="44">
        <f>IF(Esiehdot!E$4=IFERROR(VLOOKUP(E427,Valintalistat!D$2:H$7,5,0),99),1,0)</f>
        <v>0</v>
      </c>
      <c r="AD427" s="44">
        <f>IF(Esiehdot!E$5=IFERROR(VLOOKUP(F427,Valintalistat!E$2:H$5,4,0),99),1,0)</f>
        <v>0</v>
      </c>
      <c r="AE427" s="44">
        <f>IF(Esiehdot!E$6=IFERROR(VLOOKUP(G427,Valintalistat!F$2:H$5,3,0),99),1,0)</f>
        <v>0</v>
      </c>
      <c r="AF427" s="44">
        <f>IF(Esiehdot!E$8=IFERROR(VLOOKUP(H427,Valintalistat!G$2:H$3,2,0),98),1,0)</f>
        <v>0</v>
      </c>
      <c r="AG427" s="43">
        <f t="shared" si="57"/>
        <v>0</v>
      </c>
      <c r="AH427" s="43">
        <f>IFERROR(HLOOKUP(Esiehdot!$B$17,Käyttötapauskriteerit!G$1:P223,427,0),1)</f>
        <v>1</v>
      </c>
      <c r="AI427" s="43">
        <f t="shared" si="58"/>
        <v>0</v>
      </c>
      <c r="AJ427" s="43">
        <f t="shared" si="59"/>
        <v>0</v>
      </c>
      <c r="AK427" s="43">
        <f t="shared" si="60"/>
        <v>0</v>
      </c>
      <c r="AL427" s="43">
        <f t="shared" si="61"/>
        <v>0</v>
      </c>
      <c r="AM427" s="43"/>
      <c r="AN427" s="45" t="str">
        <f t="shared" si="62"/>
        <v/>
      </c>
    </row>
    <row r="428" spans="1:40" ht="15.6">
      <c r="A428" s="5"/>
      <c r="B428" s="5"/>
      <c r="E428" s="17"/>
      <c r="F428" s="17"/>
      <c r="G428" s="17"/>
      <c r="H428" s="17"/>
      <c r="I428" s="17"/>
      <c r="J428" s="17"/>
      <c r="K428" s="17"/>
      <c r="L428" s="32"/>
      <c r="M428" s="61"/>
      <c r="N428" s="23"/>
      <c r="O428" s="23"/>
      <c r="P428" s="9"/>
      <c r="Q428" s="9"/>
      <c r="R428" s="9"/>
      <c r="S428" s="9"/>
      <c r="U428" s="42" t="str">
        <f t="shared" si="54"/>
        <v>, L:, E:, S:, TS:</v>
      </c>
      <c r="V428" s="42" t="str">
        <f t="shared" si="55"/>
        <v/>
      </c>
      <c r="W428" s="43">
        <f>IFERROR(VLOOKUP(A428,Esiehdot!A$11:D$15,4,0), 0)</f>
        <v>0</v>
      </c>
      <c r="X428" s="44">
        <f>IF(Esiehdot!D$4&gt;=IFERROR(VLOOKUP(E428,Valintalistat!D$2:H$7,5,0), 99),1,0)</f>
        <v>0</v>
      </c>
      <c r="Y428" s="44">
        <f>IF(Esiehdot!D$5&gt;=IFERROR(VLOOKUP(F428,Valintalistat!E$2:H$5,4,0), 99),1,0)</f>
        <v>0</v>
      </c>
      <c r="Z428" s="44">
        <f>IF(Esiehdot!D$6&gt;=IFERROR(VLOOKUP(G428,Valintalistat!F$2:H$5,3,0),99),1,0)</f>
        <v>0</v>
      </c>
      <c r="AA428" s="44">
        <f>IF(Esiehdot!D$8&gt;=IFERROR(VLOOKUP(H428,Valintalistat!G$2:H$5,2,0),99),1,0)</f>
        <v>0</v>
      </c>
      <c r="AB428" s="43">
        <f t="shared" si="56"/>
        <v>0</v>
      </c>
      <c r="AC428" s="44">
        <f>IF(Esiehdot!E$4=IFERROR(VLOOKUP(E428,Valintalistat!D$2:H$7,5,0),99),1,0)</f>
        <v>0</v>
      </c>
      <c r="AD428" s="44">
        <f>IF(Esiehdot!E$5=IFERROR(VLOOKUP(F428,Valintalistat!E$2:H$5,4,0),99),1,0)</f>
        <v>0</v>
      </c>
      <c r="AE428" s="44">
        <f>IF(Esiehdot!E$6=IFERROR(VLOOKUP(G428,Valintalistat!F$2:H$5,3,0),99),1,0)</f>
        <v>0</v>
      </c>
      <c r="AF428" s="44">
        <f>IF(Esiehdot!E$8=IFERROR(VLOOKUP(H428,Valintalistat!G$2:H$3,2,0),98),1,0)</f>
        <v>0</v>
      </c>
      <c r="AG428" s="43">
        <f t="shared" si="57"/>
        <v>0</v>
      </c>
      <c r="AH428" s="43">
        <f>IFERROR(HLOOKUP(Esiehdot!$B$17,Käyttötapauskriteerit!G$1:P223,428,0),1)</f>
        <v>1</v>
      </c>
      <c r="AI428" s="43">
        <f t="shared" si="58"/>
        <v>0</v>
      </c>
      <c r="AJ428" s="43">
        <f t="shared" si="59"/>
        <v>0</v>
      </c>
      <c r="AK428" s="43">
        <f t="shared" si="60"/>
        <v>0</v>
      </c>
      <c r="AL428" s="43">
        <f t="shared" si="61"/>
        <v>0</v>
      </c>
      <c r="AM428" s="43"/>
      <c r="AN428" s="45" t="str">
        <f t="shared" si="62"/>
        <v/>
      </c>
    </row>
    <row r="429" spans="1:40" ht="15.6">
      <c r="A429" s="5"/>
      <c r="B429" s="5"/>
      <c r="E429" s="17"/>
      <c r="F429" s="17"/>
      <c r="G429" s="17"/>
      <c r="H429" s="17"/>
      <c r="I429" s="17"/>
      <c r="J429" s="17"/>
      <c r="K429" s="17"/>
      <c r="L429" s="32"/>
      <c r="M429" s="61"/>
      <c r="N429" s="23"/>
      <c r="O429" s="23"/>
      <c r="P429" s="9"/>
      <c r="Q429" s="9"/>
      <c r="R429" s="9"/>
      <c r="S429" s="9"/>
      <c r="U429" s="42" t="str">
        <f t="shared" si="54"/>
        <v>, L:, E:, S:, TS:</v>
      </c>
      <c r="V429" s="42" t="str">
        <f t="shared" si="55"/>
        <v/>
      </c>
      <c r="W429" s="43">
        <f>IFERROR(VLOOKUP(A429,Esiehdot!A$11:D$15,4,0), 0)</f>
        <v>0</v>
      </c>
      <c r="X429" s="44">
        <f>IF(Esiehdot!D$4&gt;=IFERROR(VLOOKUP(E429,Valintalistat!D$2:H$7,5,0), 99),1,0)</f>
        <v>0</v>
      </c>
      <c r="Y429" s="44">
        <f>IF(Esiehdot!D$5&gt;=IFERROR(VLOOKUP(F429,Valintalistat!E$2:H$5,4,0), 99),1,0)</f>
        <v>0</v>
      </c>
      <c r="Z429" s="44">
        <f>IF(Esiehdot!D$6&gt;=IFERROR(VLOOKUP(G429,Valintalistat!F$2:H$5,3,0),99),1,0)</f>
        <v>0</v>
      </c>
      <c r="AA429" s="44">
        <f>IF(Esiehdot!D$8&gt;=IFERROR(VLOOKUP(H429,Valintalistat!G$2:H$5,2,0),99),1,0)</f>
        <v>0</v>
      </c>
      <c r="AB429" s="43">
        <f t="shared" si="56"/>
        <v>0</v>
      </c>
      <c r="AC429" s="44">
        <f>IF(Esiehdot!E$4=IFERROR(VLOOKUP(E429,Valintalistat!D$2:H$7,5,0),99),1,0)</f>
        <v>0</v>
      </c>
      <c r="AD429" s="44">
        <f>IF(Esiehdot!E$5=IFERROR(VLOOKUP(F429,Valintalistat!E$2:H$5,4,0),99),1,0)</f>
        <v>0</v>
      </c>
      <c r="AE429" s="44">
        <f>IF(Esiehdot!E$6=IFERROR(VLOOKUP(G429,Valintalistat!F$2:H$5,3,0),99),1,0)</f>
        <v>0</v>
      </c>
      <c r="AF429" s="44">
        <f>IF(Esiehdot!E$8=IFERROR(VLOOKUP(H429,Valintalistat!G$2:H$3,2,0),98),1,0)</f>
        <v>0</v>
      </c>
      <c r="AG429" s="43">
        <f t="shared" si="57"/>
        <v>0</v>
      </c>
      <c r="AH429" s="43">
        <f>IFERROR(HLOOKUP(Esiehdot!$B$17,Käyttötapauskriteerit!G$1:P223,429,0),1)</f>
        <v>1</v>
      </c>
      <c r="AI429" s="43">
        <f t="shared" si="58"/>
        <v>0</v>
      </c>
      <c r="AJ429" s="43">
        <f t="shared" si="59"/>
        <v>0</v>
      </c>
      <c r="AK429" s="43">
        <f t="shared" si="60"/>
        <v>0</v>
      </c>
      <c r="AL429" s="43">
        <f t="shared" si="61"/>
        <v>0</v>
      </c>
      <c r="AM429" s="43"/>
      <c r="AN429" s="45" t="str">
        <f t="shared" si="62"/>
        <v/>
      </c>
    </row>
    <row r="430" spans="1:40" ht="15.6">
      <c r="A430" s="5"/>
      <c r="B430" s="5"/>
      <c r="E430" s="17"/>
      <c r="F430" s="17"/>
      <c r="G430" s="17"/>
      <c r="H430" s="17"/>
      <c r="I430" s="17"/>
      <c r="J430" s="17"/>
      <c r="K430" s="17"/>
      <c r="L430" s="32"/>
      <c r="M430" s="61"/>
      <c r="N430" s="23"/>
      <c r="O430" s="23"/>
      <c r="P430" s="9"/>
      <c r="Q430" s="9"/>
      <c r="R430" s="9"/>
      <c r="S430" s="9"/>
      <c r="U430" s="42" t="str">
        <f t="shared" si="54"/>
        <v>, L:, E:, S:, TS:</v>
      </c>
      <c r="V430" s="42" t="str">
        <f t="shared" si="55"/>
        <v/>
      </c>
      <c r="W430" s="43">
        <f>IFERROR(VLOOKUP(A430,Esiehdot!A$11:D$15,4,0), 0)</f>
        <v>0</v>
      </c>
      <c r="X430" s="44">
        <f>IF(Esiehdot!D$4&gt;=IFERROR(VLOOKUP(E430,Valintalistat!D$2:H$7,5,0), 99),1,0)</f>
        <v>0</v>
      </c>
      <c r="Y430" s="44">
        <f>IF(Esiehdot!D$5&gt;=IFERROR(VLOOKUP(F430,Valintalistat!E$2:H$5,4,0), 99),1,0)</f>
        <v>0</v>
      </c>
      <c r="Z430" s="44">
        <f>IF(Esiehdot!D$6&gt;=IFERROR(VLOOKUP(G430,Valintalistat!F$2:H$5,3,0),99),1,0)</f>
        <v>0</v>
      </c>
      <c r="AA430" s="44">
        <f>IF(Esiehdot!D$8&gt;=IFERROR(VLOOKUP(H430,Valintalistat!G$2:H$5,2,0),99),1,0)</f>
        <v>0</v>
      </c>
      <c r="AB430" s="43">
        <f t="shared" si="56"/>
        <v>0</v>
      </c>
      <c r="AC430" s="44">
        <f>IF(Esiehdot!E$4=IFERROR(VLOOKUP(E430,Valintalistat!D$2:H$7,5,0),99),1,0)</f>
        <v>0</v>
      </c>
      <c r="AD430" s="44">
        <f>IF(Esiehdot!E$5=IFERROR(VLOOKUP(F430,Valintalistat!E$2:H$5,4,0),99),1,0)</f>
        <v>0</v>
      </c>
      <c r="AE430" s="44">
        <f>IF(Esiehdot!E$6=IFERROR(VLOOKUP(G430,Valintalistat!F$2:H$5,3,0),99),1,0)</f>
        <v>0</v>
      </c>
      <c r="AF430" s="44">
        <f>IF(Esiehdot!E$8=IFERROR(VLOOKUP(H430,Valintalistat!G$2:H$3,2,0),98),1,0)</f>
        <v>0</v>
      </c>
      <c r="AG430" s="43">
        <f t="shared" si="57"/>
        <v>0</v>
      </c>
      <c r="AH430" s="43">
        <f>IFERROR(HLOOKUP(Esiehdot!$B$17,Käyttötapauskriteerit!G$1:P223,430,0),1)</f>
        <v>1</v>
      </c>
      <c r="AI430" s="43">
        <f t="shared" si="58"/>
        <v>0</v>
      </c>
      <c r="AJ430" s="43">
        <f t="shared" si="59"/>
        <v>0</v>
      </c>
      <c r="AK430" s="43">
        <f t="shared" si="60"/>
        <v>0</v>
      </c>
      <c r="AL430" s="43">
        <f t="shared" si="61"/>
        <v>0</v>
      </c>
      <c r="AM430" s="43"/>
      <c r="AN430" s="45" t="str">
        <f t="shared" si="62"/>
        <v/>
      </c>
    </row>
    <row r="431" spans="1:40" ht="15.6">
      <c r="A431" s="5"/>
      <c r="B431" s="5"/>
      <c r="E431" s="17"/>
      <c r="F431" s="17"/>
      <c r="G431" s="17"/>
      <c r="H431" s="17"/>
      <c r="I431" s="17"/>
      <c r="J431" s="17"/>
      <c r="K431" s="17"/>
      <c r="L431" s="32"/>
      <c r="M431" s="61"/>
      <c r="N431" s="23"/>
      <c r="O431" s="23"/>
      <c r="P431" s="9"/>
      <c r="Q431" s="9"/>
      <c r="R431" s="9"/>
      <c r="S431" s="9"/>
      <c r="U431" s="42" t="str">
        <f t="shared" si="54"/>
        <v>, L:, E:, S:, TS:</v>
      </c>
      <c r="V431" s="42" t="str">
        <f t="shared" si="55"/>
        <v/>
      </c>
      <c r="W431" s="43">
        <f>IFERROR(VLOOKUP(A431,Esiehdot!A$11:D$15,4,0), 0)</f>
        <v>0</v>
      </c>
      <c r="X431" s="44">
        <f>IF(Esiehdot!D$4&gt;=IFERROR(VLOOKUP(E431,Valintalistat!D$2:H$7,5,0), 99),1,0)</f>
        <v>0</v>
      </c>
      <c r="Y431" s="44">
        <f>IF(Esiehdot!D$5&gt;=IFERROR(VLOOKUP(F431,Valintalistat!E$2:H$5,4,0), 99),1,0)</f>
        <v>0</v>
      </c>
      <c r="Z431" s="44">
        <f>IF(Esiehdot!D$6&gt;=IFERROR(VLOOKUP(G431,Valintalistat!F$2:H$5,3,0),99),1,0)</f>
        <v>0</v>
      </c>
      <c r="AA431" s="44">
        <f>IF(Esiehdot!D$8&gt;=IFERROR(VLOOKUP(H431,Valintalistat!G$2:H$5,2,0),99),1,0)</f>
        <v>0</v>
      </c>
      <c r="AB431" s="43">
        <f t="shared" si="56"/>
        <v>0</v>
      </c>
      <c r="AC431" s="44">
        <f>IF(Esiehdot!E$4=IFERROR(VLOOKUP(E431,Valintalistat!D$2:H$7,5,0),99),1,0)</f>
        <v>0</v>
      </c>
      <c r="AD431" s="44">
        <f>IF(Esiehdot!E$5=IFERROR(VLOOKUP(F431,Valintalistat!E$2:H$5,4,0),99),1,0)</f>
        <v>0</v>
      </c>
      <c r="AE431" s="44">
        <f>IF(Esiehdot!E$6=IFERROR(VLOOKUP(G431,Valintalistat!F$2:H$5,3,0),99),1,0)</f>
        <v>0</v>
      </c>
      <c r="AF431" s="44">
        <f>IF(Esiehdot!E$8=IFERROR(VLOOKUP(H431,Valintalistat!G$2:H$3,2,0),98),1,0)</f>
        <v>0</v>
      </c>
      <c r="AG431" s="43">
        <f t="shared" si="57"/>
        <v>0</v>
      </c>
      <c r="AH431" s="43">
        <f>IFERROR(HLOOKUP(Esiehdot!$B$17,Käyttötapauskriteerit!G$1:P223,431,0),1)</f>
        <v>1</v>
      </c>
      <c r="AI431" s="43">
        <f t="shared" si="58"/>
        <v>0</v>
      </c>
      <c r="AJ431" s="43">
        <f t="shared" si="59"/>
        <v>0</v>
      </c>
      <c r="AK431" s="43">
        <f t="shared" si="60"/>
        <v>0</v>
      </c>
      <c r="AL431" s="43">
        <f t="shared" si="61"/>
        <v>0</v>
      </c>
      <c r="AM431" s="43"/>
      <c r="AN431" s="45" t="str">
        <f t="shared" si="62"/>
        <v/>
      </c>
    </row>
    <row r="432" spans="1:40" ht="15.6">
      <c r="A432" s="5"/>
      <c r="B432" s="5"/>
      <c r="E432" s="17"/>
      <c r="F432" s="17"/>
      <c r="G432" s="17"/>
      <c r="H432" s="17"/>
      <c r="I432" s="17"/>
      <c r="J432" s="17"/>
      <c r="K432" s="17"/>
      <c r="L432" s="32"/>
      <c r="M432" s="61"/>
      <c r="N432" s="23"/>
      <c r="O432" s="23"/>
      <c r="P432" s="9"/>
      <c r="Q432" s="9"/>
      <c r="R432" s="9"/>
      <c r="S432" s="9"/>
      <c r="U432" s="42" t="str">
        <f t="shared" si="54"/>
        <v>, L:, E:, S:, TS:</v>
      </c>
      <c r="V432" s="42" t="str">
        <f t="shared" si="55"/>
        <v/>
      </c>
      <c r="W432" s="43">
        <f>IFERROR(VLOOKUP(A432,Esiehdot!A$11:D$15,4,0), 0)</f>
        <v>0</v>
      </c>
      <c r="X432" s="44">
        <f>IF(Esiehdot!D$4&gt;=IFERROR(VLOOKUP(E432,Valintalistat!D$2:H$7,5,0), 99),1,0)</f>
        <v>0</v>
      </c>
      <c r="Y432" s="44">
        <f>IF(Esiehdot!D$5&gt;=IFERROR(VLOOKUP(F432,Valintalistat!E$2:H$5,4,0), 99),1,0)</f>
        <v>0</v>
      </c>
      <c r="Z432" s="44">
        <f>IF(Esiehdot!D$6&gt;=IFERROR(VLOOKUP(G432,Valintalistat!F$2:H$5,3,0),99),1,0)</f>
        <v>0</v>
      </c>
      <c r="AA432" s="44">
        <f>IF(Esiehdot!D$8&gt;=IFERROR(VLOOKUP(H432,Valintalistat!G$2:H$5,2,0),99),1,0)</f>
        <v>0</v>
      </c>
      <c r="AB432" s="43">
        <f t="shared" si="56"/>
        <v>0</v>
      </c>
      <c r="AC432" s="44">
        <f>IF(Esiehdot!E$4=IFERROR(VLOOKUP(E432,Valintalistat!D$2:H$7,5,0),99),1,0)</f>
        <v>0</v>
      </c>
      <c r="AD432" s="44">
        <f>IF(Esiehdot!E$5=IFERROR(VLOOKUP(F432,Valintalistat!E$2:H$5,4,0),99),1,0)</f>
        <v>0</v>
      </c>
      <c r="AE432" s="44">
        <f>IF(Esiehdot!E$6=IFERROR(VLOOKUP(G432,Valintalistat!F$2:H$5,3,0),99),1,0)</f>
        <v>0</v>
      </c>
      <c r="AF432" s="44">
        <f>IF(Esiehdot!E$8=IFERROR(VLOOKUP(H432,Valintalistat!G$2:H$3,2,0),98),1,0)</f>
        <v>0</v>
      </c>
      <c r="AG432" s="43">
        <f t="shared" si="57"/>
        <v>0</v>
      </c>
      <c r="AH432" s="43">
        <f>IFERROR(HLOOKUP(Esiehdot!$B$17,Käyttötapauskriteerit!G$1:P223,432,0),1)</f>
        <v>1</v>
      </c>
      <c r="AI432" s="43">
        <f t="shared" si="58"/>
        <v>0</v>
      </c>
      <c r="AJ432" s="43">
        <f t="shared" si="59"/>
        <v>0</v>
      </c>
      <c r="AK432" s="43">
        <f t="shared" si="60"/>
        <v>0</v>
      </c>
      <c r="AL432" s="43">
        <f t="shared" si="61"/>
        <v>0</v>
      </c>
      <c r="AM432" s="43"/>
      <c r="AN432" s="45" t="str">
        <f t="shared" si="62"/>
        <v/>
      </c>
    </row>
    <row r="433" spans="1:40" ht="15.6">
      <c r="A433" s="5"/>
      <c r="B433" s="5"/>
      <c r="E433" s="17"/>
      <c r="F433" s="17"/>
      <c r="G433" s="17"/>
      <c r="H433" s="17"/>
      <c r="I433" s="17"/>
      <c r="J433" s="17"/>
      <c r="K433" s="17"/>
      <c r="L433" s="32"/>
      <c r="M433" s="61"/>
      <c r="N433" s="23"/>
      <c r="O433" s="23"/>
      <c r="P433" s="9"/>
      <c r="Q433" s="9"/>
      <c r="R433" s="9"/>
      <c r="S433" s="9"/>
      <c r="U433" s="42" t="str">
        <f t="shared" si="54"/>
        <v>, L:, E:, S:, TS:</v>
      </c>
      <c r="V433" s="42" t="str">
        <f t="shared" si="55"/>
        <v/>
      </c>
      <c r="W433" s="43">
        <f>IFERROR(VLOOKUP(A433,Esiehdot!A$11:D$15,4,0), 0)</f>
        <v>0</v>
      </c>
      <c r="X433" s="44">
        <f>IF(Esiehdot!D$4&gt;=IFERROR(VLOOKUP(E433,Valintalistat!D$2:H$7,5,0), 99),1,0)</f>
        <v>0</v>
      </c>
      <c r="Y433" s="44">
        <f>IF(Esiehdot!D$5&gt;=IFERROR(VLOOKUP(F433,Valintalistat!E$2:H$5,4,0), 99),1,0)</f>
        <v>0</v>
      </c>
      <c r="Z433" s="44">
        <f>IF(Esiehdot!D$6&gt;=IFERROR(VLOOKUP(G433,Valintalistat!F$2:H$5,3,0),99),1,0)</f>
        <v>0</v>
      </c>
      <c r="AA433" s="44">
        <f>IF(Esiehdot!D$8&gt;=IFERROR(VLOOKUP(H433,Valintalistat!G$2:H$5,2,0),99),1,0)</f>
        <v>0</v>
      </c>
      <c r="AB433" s="43">
        <f t="shared" si="56"/>
        <v>0</v>
      </c>
      <c r="AC433" s="44">
        <f>IF(Esiehdot!E$4=IFERROR(VLOOKUP(E433,Valintalistat!D$2:H$7,5,0),99),1,0)</f>
        <v>0</v>
      </c>
      <c r="AD433" s="44">
        <f>IF(Esiehdot!E$5=IFERROR(VLOOKUP(F433,Valintalistat!E$2:H$5,4,0),99),1,0)</f>
        <v>0</v>
      </c>
      <c r="AE433" s="44">
        <f>IF(Esiehdot!E$6=IFERROR(VLOOKUP(G433,Valintalistat!F$2:H$5,3,0),99),1,0)</f>
        <v>0</v>
      </c>
      <c r="AF433" s="44">
        <f>IF(Esiehdot!E$8=IFERROR(VLOOKUP(H433,Valintalistat!G$2:H$3,2,0),98),1,0)</f>
        <v>0</v>
      </c>
      <c r="AG433" s="43">
        <f t="shared" si="57"/>
        <v>0</v>
      </c>
      <c r="AH433" s="43">
        <f>IFERROR(HLOOKUP(Esiehdot!$B$17,Käyttötapauskriteerit!G$1:P223,433,0),1)</f>
        <v>1</v>
      </c>
      <c r="AI433" s="43">
        <f t="shared" si="58"/>
        <v>0</v>
      </c>
      <c r="AJ433" s="43">
        <f t="shared" si="59"/>
        <v>0</v>
      </c>
      <c r="AK433" s="43">
        <f t="shared" si="60"/>
        <v>0</v>
      </c>
      <c r="AL433" s="43">
        <f t="shared" si="61"/>
        <v>0</v>
      </c>
      <c r="AM433" s="43"/>
      <c r="AN433" s="45" t="str">
        <f t="shared" si="62"/>
        <v/>
      </c>
    </row>
    <row r="434" spans="1:40" ht="15.6">
      <c r="A434" s="5"/>
      <c r="B434" s="5"/>
      <c r="E434" s="17"/>
      <c r="F434" s="17"/>
      <c r="G434" s="17"/>
      <c r="H434" s="17"/>
      <c r="I434" s="17"/>
      <c r="J434" s="17"/>
      <c r="K434" s="17"/>
      <c r="L434" s="32"/>
      <c r="M434" s="61"/>
      <c r="N434" s="23"/>
      <c r="O434" s="23"/>
      <c r="P434" s="9"/>
      <c r="Q434" s="9"/>
      <c r="R434" s="9"/>
      <c r="S434" s="9"/>
      <c r="U434" s="42" t="str">
        <f t="shared" si="54"/>
        <v>, L:, E:, S:, TS:</v>
      </c>
      <c r="V434" s="42" t="str">
        <f t="shared" si="55"/>
        <v/>
      </c>
      <c r="W434" s="43">
        <f>IFERROR(VLOOKUP(A434,Esiehdot!A$11:D$15,4,0), 0)</f>
        <v>0</v>
      </c>
      <c r="X434" s="44">
        <f>IF(Esiehdot!D$4&gt;=IFERROR(VLOOKUP(E434,Valintalistat!D$2:H$7,5,0), 99),1,0)</f>
        <v>0</v>
      </c>
      <c r="Y434" s="44">
        <f>IF(Esiehdot!D$5&gt;=IFERROR(VLOOKUP(F434,Valintalistat!E$2:H$5,4,0), 99),1,0)</f>
        <v>0</v>
      </c>
      <c r="Z434" s="44">
        <f>IF(Esiehdot!D$6&gt;=IFERROR(VLOOKUP(G434,Valintalistat!F$2:H$5,3,0),99),1,0)</f>
        <v>0</v>
      </c>
      <c r="AA434" s="44">
        <f>IF(Esiehdot!D$8&gt;=IFERROR(VLOOKUP(H434,Valintalistat!G$2:H$5,2,0),99),1,0)</f>
        <v>0</v>
      </c>
      <c r="AB434" s="43">
        <f t="shared" si="56"/>
        <v>0</v>
      </c>
      <c r="AC434" s="44">
        <f>IF(Esiehdot!E$4=IFERROR(VLOOKUP(E434,Valintalistat!D$2:H$7,5,0),99),1,0)</f>
        <v>0</v>
      </c>
      <c r="AD434" s="44">
        <f>IF(Esiehdot!E$5=IFERROR(VLOOKUP(F434,Valintalistat!E$2:H$5,4,0),99),1,0)</f>
        <v>0</v>
      </c>
      <c r="AE434" s="44">
        <f>IF(Esiehdot!E$6=IFERROR(VLOOKUP(G434,Valintalistat!F$2:H$5,3,0),99),1,0)</f>
        <v>0</v>
      </c>
      <c r="AF434" s="44">
        <f>IF(Esiehdot!E$8=IFERROR(VLOOKUP(H434,Valintalistat!G$2:H$3,2,0),98),1,0)</f>
        <v>0</v>
      </c>
      <c r="AG434" s="43">
        <f t="shared" si="57"/>
        <v>0</v>
      </c>
      <c r="AH434" s="43">
        <f>IFERROR(HLOOKUP(Esiehdot!$B$17,Käyttötapauskriteerit!G$1:P223,434,0),1)</f>
        <v>1</v>
      </c>
      <c r="AI434" s="43">
        <f t="shared" si="58"/>
        <v>0</v>
      </c>
      <c r="AJ434" s="43">
        <f t="shared" si="59"/>
        <v>0</v>
      </c>
      <c r="AK434" s="43">
        <f t="shared" si="60"/>
        <v>0</v>
      </c>
      <c r="AL434" s="43">
        <f t="shared" si="61"/>
        <v>0</v>
      </c>
      <c r="AM434" s="43"/>
      <c r="AN434" s="45" t="str">
        <f t="shared" si="62"/>
        <v/>
      </c>
    </row>
    <row r="435" spans="1:40" ht="15.6">
      <c r="A435" s="5"/>
      <c r="B435" s="5"/>
      <c r="E435" s="17"/>
      <c r="F435" s="17"/>
      <c r="G435" s="17"/>
      <c r="H435" s="17"/>
      <c r="I435" s="17"/>
      <c r="J435" s="17"/>
      <c r="K435" s="17"/>
      <c r="L435" s="32"/>
      <c r="M435" s="61"/>
      <c r="N435" s="23"/>
      <c r="O435" s="23"/>
      <c r="P435" s="9"/>
      <c r="Q435" s="9"/>
      <c r="R435" s="9"/>
      <c r="S435" s="9"/>
      <c r="U435" s="42" t="str">
        <f t="shared" si="54"/>
        <v>, L:, E:, S:, TS:</v>
      </c>
      <c r="V435" s="42" t="str">
        <f t="shared" si="55"/>
        <v/>
      </c>
      <c r="W435" s="43">
        <f>IFERROR(VLOOKUP(A435,Esiehdot!A$11:D$15,4,0), 0)</f>
        <v>0</v>
      </c>
      <c r="X435" s="44">
        <f>IF(Esiehdot!D$4&gt;=IFERROR(VLOOKUP(E435,Valintalistat!D$2:H$7,5,0), 99),1,0)</f>
        <v>0</v>
      </c>
      <c r="Y435" s="44">
        <f>IF(Esiehdot!D$5&gt;=IFERROR(VLOOKUP(F435,Valintalistat!E$2:H$5,4,0), 99),1,0)</f>
        <v>0</v>
      </c>
      <c r="Z435" s="44">
        <f>IF(Esiehdot!D$6&gt;=IFERROR(VLOOKUP(G435,Valintalistat!F$2:H$5,3,0),99),1,0)</f>
        <v>0</v>
      </c>
      <c r="AA435" s="44">
        <f>IF(Esiehdot!D$8&gt;=IFERROR(VLOOKUP(H435,Valintalistat!G$2:H$5,2,0),99),1,0)</f>
        <v>0</v>
      </c>
      <c r="AB435" s="43">
        <f t="shared" si="56"/>
        <v>0</v>
      </c>
      <c r="AC435" s="44">
        <f>IF(Esiehdot!E$4=IFERROR(VLOOKUP(E435,Valintalistat!D$2:H$7,5,0),99),1,0)</f>
        <v>0</v>
      </c>
      <c r="AD435" s="44">
        <f>IF(Esiehdot!E$5=IFERROR(VLOOKUP(F435,Valintalistat!E$2:H$5,4,0),99),1,0)</f>
        <v>0</v>
      </c>
      <c r="AE435" s="44">
        <f>IF(Esiehdot!E$6=IFERROR(VLOOKUP(G435,Valintalistat!F$2:H$5,3,0),99),1,0)</f>
        <v>0</v>
      </c>
      <c r="AF435" s="44">
        <f>IF(Esiehdot!E$8=IFERROR(VLOOKUP(H435,Valintalistat!G$2:H$3,2,0),98),1,0)</f>
        <v>0</v>
      </c>
      <c r="AG435" s="43">
        <f t="shared" si="57"/>
        <v>0</v>
      </c>
      <c r="AH435" s="43">
        <f>IFERROR(HLOOKUP(Esiehdot!$B$17,Käyttötapauskriteerit!G$1:P223,435,0),1)</f>
        <v>1</v>
      </c>
      <c r="AI435" s="43">
        <f t="shared" si="58"/>
        <v>0</v>
      </c>
      <c r="AJ435" s="43">
        <f t="shared" si="59"/>
        <v>0</v>
      </c>
      <c r="AK435" s="43">
        <f t="shared" si="60"/>
        <v>0</v>
      </c>
      <c r="AL435" s="43">
        <f t="shared" si="61"/>
        <v>0</v>
      </c>
      <c r="AM435" s="43"/>
      <c r="AN435" s="45" t="str">
        <f t="shared" si="62"/>
        <v/>
      </c>
    </row>
    <row r="436" spans="1:40" ht="15.6">
      <c r="A436" s="5"/>
      <c r="B436" s="5"/>
      <c r="E436" s="17"/>
      <c r="F436" s="17"/>
      <c r="G436" s="17"/>
      <c r="H436" s="17"/>
      <c r="I436" s="17"/>
      <c r="J436" s="17"/>
      <c r="K436" s="17"/>
      <c r="L436" s="32"/>
      <c r="M436" s="61"/>
      <c r="N436" s="23"/>
      <c r="O436" s="23"/>
      <c r="P436" s="9"/>
      <c r="Q436" s="9"/>
      <c r="R436" s="9"/>
      <c r="S436" s="9"/>
      <c r="U436" s="42" t="str">
        <f t="shared" si="54"/>
        <v>, L:, E:, S:, TS:</v>
      </c>
      <c r="V436" s="42" t="str">
        <f t="shared" si="55"/>
        <v/>
      </c>
      <c r="W436" s="43">
        <f>IFERROR(VLOOKUP(A436,Esiehdot!A$11:D$15,4,0), 0)</f>
        <v>0</v>
      </c>
      <c r="X436" s="44">
        <f>IF(Esiehdot!D$4&gt;=IFERROR(VLOOKUP(E436,Valintalistat!D$2:H$7,5,0), 99),1,0)</f>
        <v>0</v>
      </c>
      <c r="Y436" s="44">
        <f>IF(Esiehdot!D$5&gt;=IFERROR(VLOOKUP(F436,Valintalistat!E$2:H$5,4,0), 99),1,0)</f>
        <v>0</v>
      </c>
      <c r="Z436" s="44">
        <f>IF(Esiehdot!D$6&gt;=IFERROR(VLOOKUP(G436,Valintalistat!F$2:H$5,3,0),99),1,0)</f>
        <v>0</v>
      </c>
      <c r="AA436" s="44">
        <f>IF(Esiehdot!D$8&gt;=IFERROR(VLOOKUP(H436,Valintalistat!G$2:H$5,2,0),99),1,0)</f>
        <v>0</v>
      </c>
      <c r="AB436" s="43">
        <f t="shared" si="56"/>
        <v>0</v>
      </c>
      <c r="AC436" s="44">
        <f>IF(Esiehdot!E$4=IFERROR(VLOOKUP(E436,Valintalistat!D$2:H$7,5,0),99),1,0)</f>
        <v>0</v>
      </c>
      <c r="AD436" s="44">
        <f>IF(Esiehdot!E$5=IFERROR(VLOOKUP(F436,Valintalistat!E$2:H$5,4,0),99),1,0)</f>
        <v>0</v>
      </c>
      <c r="AE436" s="44">
        <f>IF(Esiehdot!E$6=IFERROR(VLOOKUP(G436,Valintalistat!F$2:H$5,3,0),99),1,0)</f>
        <v>0</v>
      </c>
      <c r="AF436" s="44">
        <f>IF(Esiehdot!E$8=IFERROR(VLOOKUP(H436,Valintalistat!G$2:H$3,2,0),98),1,0)</f>
        <v>0</v>
      </c>
      <c r="AG436" s="43">
        <f t="shared" si="57"/>
        <v>0</v>
      </c>
      <c r="AH436" s="43">
        <f>IFERROR(HLOOKUP(Esiehdot!$B$17,Käyttötapauskriteerit!G$1:P223,436,0),1)</f>
        <v>1</v>
      </c>
      <c r="AI436" s="43">
        <f t="shared" si="58"/>
        <v>0</v>
      </c>
      <c r="AJ436" s="43">
        <f t="shared" si="59"/>
        <v>0</v>
      </c>
      <c r="AK436" s="43">
        <f t="shared" si="60"/>
        <v>0</v>
      </c>
      <c r="AL436" s="43">
        <f t="shared" si="61"/>
        <v>0</v>
      </c>
      <c r="AM436" s="43"/>
      <c r="AN436" s="45" t="str">
        <f t="shared" si="62"/>
        <v/>
      </c>
    </row>
    <row r="437" spans="1:40" ht="15.6">
      <c r="A437" s="5"/>
      <c r="B437" s="5"/>
      <c r="E437" s="17"/>
      <c r="F437" s="17"/>
      <c r="G437" s="17"/>
      <c r="H437" s="17"/>
      <c r="I437" s="17"/>
      <c r="J437" s="17"/>
      <c r="K437" s="17"/>
      <c r="L437" s="32"/>
      <c r="M437" s="61"/>
      <c r="N437" s="23"/>
      <c r="O437" s="23"/>
      <c r="P437" s="9"/>
      <c r="Q437" s="9"/>
      <c r="R437" s="9"/>
      <c r="S437" s="9"/>
      <c r="U437" s="42" t="str">
        <f t="shared" si="54"/>
        <v>, L:, E:, S:, TS:</v>
      </c>
      <c r="V437" s="42" t="str">
        <f t="shared" si="55"/>
        <v/>
      </c>
      <c r="W437" s="43">
        <f>IFERROR(VLOOKUP(A437,Esiehdot!A$11:D$15,4,0), 0)</f>
        <v>0</v>
      </c>
      <c r="X437" s="44">
        <f>IF(Esiehdot!D$4&gt;=IFERROR(VLOOKUP(E437,Valintalistat!D$2:H$7,5,0), 99),1,0)</f>
        <v>0</v>
      </c>
      <c r="Y437" s="44">
        <f>IF(Esiehdot!D$5&gt;=IFERROR(VLOOKUP(F437,Valintalistat!E$2:H$5,4,0), 99),1,0)</f>
        <v>0</v>
      </c>
      <c r="Z437" s="44">
        <f>IF(Esiehdot!D$6&gt;=IFERROR(VLOOKUP(G437,Valintalistat!F$2:H$5,3,0),99),1,0)</f>
        <v>0</v>
      </c>
      <c r="AA437" s="44">
        <f>IF(Esiehdot!D$8&gt;=IFERROR(VLOOKUP(H437,Valintalistat!G$2:H$5,2,0),99),1,0)</f>
        <v>0</v>
      </c>
      <c r="AB437" s="43">
        <f t="shared" si="56"/>
        <v>0</v>
      </c>
      <c r="AC437" s="44">
        <f>IF(Esiehdot!E$4=IFERROR(VLOOKUP(E437,Valintalistat!D$2:H$7,5,0),99),1,0)</f>
        <v>0</v>
      </c>
      <c r="AD437" s="44">
        <f>IF(Esiehdot!E$5=IFERROR(VLOOKUP(F437,Valintalistat!E$2:H$5,4,0),99),1,0)</f>
        <v>0</v>
      </c>
      <c r="AE437" s="44">
        <f>IF(Esiehdot!E$6=IFERROR(VLOOKUP(G437,Valintalistat!F$2:H$5,3,0),99),1,0)</f>
        <v>0</v>
      </c>
      <c r="AF437" s="44">
        <f>IF(Esiehdot!E$8=IFERROR(VLOOKUP(H437,Valintalistat!G$2:H$3,2,0),98),1,0)</f>
        <v>0</v>
      </c>
      <c r="AG437" s="43">
        <f t="shared" si="57"/>
        <v>0</v>
      </c>
      <c r="AH437" s="43">
        <f>IFERROR(HLOOKUP(Esiehdot!$B$17,Käyttötapauskriteerit!G$1:P223,437,0),1)</f>
        <v>1</v>
      </c>
      <c r="AI437" s="43">
        <f t="shared" si="58"/>
        <v>0</v>
      </c>
      <c r="AJ437" s="43">
        <f t="shared" si="59"/>
        <v>0</v>
      </c>
      <c r="AK437" s="43">
        <f t="shared" si="60"/>
        <v>0</v>
      </c>
      <c r="AL437" s="43">
        <f t="shared" si="61"/>
        <v>0</v>
      </c>
      <c r="AM437" s="43"/>
      <c r="AN437" s="45" t="str">
        <f t="shared" si="62"/>
        <v/>
      </c>
    </row>
    <row r="438" spans="1:40" ht="15.6">
      <c r="A438" s="5"/>
      <c r="B438" s="5"/>
      <c r="E438" s="17"/>
      <c r="F438" s="17"/>
      <c r="G438" s="17"/>
      <c r="H438" s="17"/>
      <c r="I438" s="17"/>
      <c r="J438" s="17"/>
      <c r="K438" s="17"/>
      <c r="L438" s="32"/>
      <c r="M438" s="61"/>
      <c r="N438" s="23"/>
      <c r="O438" s="23"/>
      <c r="P438" s="9"/>
      <c r="Q438" s="9"/>
      <c r="R438" s="9"/>
      <c r="S438" s="9"/>
      <c r="U438" s="42" t="str">
        <f t="shared" si="54"/>
        <v>, L:, E:, S:, TS:</v>
      </c>
      <c r="V438" s="42" t="str">
        <f t="shared" si="55"/>
        <v/>
      </c>
      <c r="W438" s="43">
        <f>IFERROR(VLOOKUP(A438,Esiehdot!A$11:D$15,4,0), 0)</f>
        <v>0</v>
      </c>
      <c r="X438" s="44">
        <f>IF(Esiehdot!D$4&gt;=IFERROR(VLOOKUP(E438,Valintalistat!D$2:H$7,5,0), 99),1,0)</f>
        <v>0</v>
      </c>
      <c r="Y438" s="44">
        <f>IF(Esiehdot!D$5&gt;=IFERROR(VLOOKUP(F438,Valintalistat!E$2:H$5,4,0), 99),1,0)</f>
        <v>0</v>
      </c>
      <c r="Z438" s="44">
        <f>IF(Esiehdot!D$6&gt;=IFERROR(VLOOKUP(G438,Valintalistat!F$2:H$5,3,0),99),1,0)</f>
        <v>0</v>
      </c>
      <c r="AA438" s="44">
        <f>IF(Esiehdot!D$8&gt;=IFERROR(VLOOKUP(H438,Valintalistat!G$2:H$5,2,0),99),1,0)</f>
        <v>0</v>
      </c>
      <c r="AB438" s="43">
        <f t="shared" si="56"/>
        <v>0</v>
      </c>
      <c r="AC438" s="44">
        <f>IF(Esiehdot!E$4=IFERROR(VLOOKUP(E438,Valintalistat!D$2:H$7,5,0),99),1,0)</f>
        <v>0</v>
      </c>
      <c r="AD438" s="44">
        <f>IF(Esiehdot!E$5=IFERROR(VLOOKUP(F438,Valintalistat!E$2:H$5,4,0),99),1,0)</f>
        <v>0</v>
      </c>
      <c r="AE438" s="44">
        <f>IF(Esiehdot!E$6=IFERROR(VLOOKUP(G438,Valintalistat!F$2:H$5,3,0),99),1,0)</f>
        <v>0</v>
      </c>
      <c r="AF438" s="44">
        <f>IF(Esiehdot!E$8=IFERROR(VLOOKUP(H438,Valintalistat!G$2:H$3,2,0),98),1,0)</f>
        <v>0</v>
      </c>
      <c r="AG438" s="43">
        <f t="shared" si="57"/>
        <v>0</v>
      </c>
      <c r="AH438" s="43">
        <f>IFERROR(HLOOKUP(Esiehdot!$B$17,Käyttötapauskriteerit!G$1:P223,438,0),1)</f>
        <v>1</v>
      </c>
      <c r="AI438" s="43">
        <f t="shared" si="58"/>
        <v>0</v>
      </c>
      <c r="AJ438" s="43">
        <f t="shared" si="59"/>
        <v>0</v>
      </c>
      <c r="AK438" s="43">
        <f t="shared" si="60"/>
        <v>0</v>
      </c>
      <c r="AL438" s="43">
        <f t="shared" si="61"/>
        <v>0</v>
      </c>
      <c r="AM438" s="43"/>
      <c r="AN438" s="45" t="str">
        <f t="shared" si="62"/>
        <v/>
      </c>
    </row>
    <row r="439" spans="1:40" ht="15.6">
      <c r="A439" s="5"/>
      <c r="B439" s="5"/>
      <c r="E439" s="17"/>
      <c r="F439" s="17"/>
      <c r="G439" s="17"/>
      <c r="H439" s="17"/>
      <c r="I439" s="17"/>
      <c r="J439" s="17"/>
      <c r="K439" s="17"/>
      <c r="L439" s="32"/>
      <c r="M439" s="61"/>
      <c r="N439" s="23"/>
      <c r="O439" s="23"/>
      <c r="P439" s="9"/>
      <c r="Q439" s="9"/>
      <c r="R439" s="9"/>
      <c r="S439" s="9"/>
      <c r="U439" s="42" t="str">
        <f t="shared" si="54"/>
        <v>, L:, E:, S:, TS:</v>
      </c>
      <c r="V439" s="42" t="str">
        <f t="shared" si="55"/>
        <v/>
      </c>
      <c r="W439" s="43">
        <f>IFERROR(VLOOKUP(A439,Esiehdot!A$11:D$15,4,0), 0)</f>
        <v>0</v>
      </c>
      <c r="X439" s="44">
        <f>IF(Esiehdot!D$4&gt;=IFERROR(VLOOKUP(E439,Valintalistat!D$2:H$7,5,0), 99),1,0)</f>
        <v>0</v>
      </c>
      <c r="Y439" s="44">
        <f>IF(Esiehdot!D$5&gt;=IFERROR(VLOOKUP(F439,Valintalistat!E$2:H$5,4,0), 99),1,0)</f>
        <v>0</v>
      </c>
      <c r="Z439" s="44">
        <f>IF(Esiehdot!D$6&gt;=IFERROR(VLOOKUP(G439,Valintalistat!F$2:H$5,3,0),99),1,0)</f>
        <v>0</v>
      </c>
      <c r="AA439" s="44">
        <f>IF(Esiehdot!D$8&gt;=IFERROR(VLOOKUP(H439,Valintalistat!G$2:H$5,2,0),99),1,0)</f>
        <v>0</v>
      </c>
      <c r="AB439" s="43">
        <f t="shared" si="56"/>
        <v>0</v>
      </c>
      <c r="AC439" s="44">
        <f>IF(Esiehdot!E$4=IFERROR(VLOOKUP(E439,Valintalistat!D$2:H$7,5,0),99),1,0)</f>
        <v>0</v>
      </c>
      <c r="AD439" s="44">
        <f>IF(Esiehdot!E$5=IFERROR(VLOOKUP(F439,Valintalistat!E$2:H$5,4,0),99),1,0)</f>
        <v>0</v>
      </c>
      <c r="AE439" s="44">
        <f>IF(Esiehdot!E$6=IFERROR(VLOOKUP(G439,Valintalistat!F$2:H$5,3,0),99),1,0)</f>
        <v>0</v>
      </c>
      <c r="AF439" s="44">
        <f>IF(Esiehdot!E$8=IFERROR(VLOOKUP(H439,Valintalistat!G$2:H$3,2,0),98),1,0)</f>
        <v>0</v>
      </c>
      <c r="AG439" s="43">
        <f t="shared" si="57"/>
        <v>0</v>
      </c>
      <c r="AH439" s="43">
        <f>IFERROR(HLOOKUP(Esiehdot!$B$17,Käyttötapauskriteerit!G$1:P223,439,0),1)</f>
        <v>1</v>
      </c>
      <c r="AI439" s="43">
        <f t="shared" si="58"/>
        <v>0</v>
      </c>
      <c r="AJ439" s="43">
        <f t="shared" si="59"/>
        <v>0</v>
      </c>
      <c r="AK439" s="43">
        <f t="shared" si="60"/>
        <v>0</v>
      </c>
      <c r="AL439" s="43">
        <f t="shared" si="61"/>
        <v>0</v>
      </c>
      <c r="AM439" s="43"/>
      <c r="AN439" s="45" t="str">
        <f t="shared" si="62"/>
        <v/>
      </c>
    </row>
    <row r="440" spans="1:40" ht="15.6">
      <c r="A440" s="5"/>
      <c r="B440" s="5"/>
      <c r="E440" s="17"/>
      <c r="F440" s="17"/>
      <c r="G440" s="17"/>
      <c r="H440" s="17"/>
      <c r="I440" s="17"/>
      <c r="J440" s="17"/>
      <c r="K440" s="17"/>
      <c r="L440" s="32"/>
      <c r="M440" s="61"/>
      <c r="N440" s="23"/>
      <c r="O440" s="23"/>
      <c r="P440" s="9"/>
      <c r="Q440" s="9"/>
      <c r="R440" s="9"/>
      <c r="S440" s="9"/>
      <c r="U440" s="42" t="str">
        <f t="shared" si="54"/>
        <v>, L:, E:, S:, TS:</v>
      </c>
      <c r="V440" s="42" t="str">
        <f t="shared" si="55"/>
        <v/>
      </c>
      <c r="W440" s="43">
        <f>IFERROR(VLOOKUP(A440,Esiehdot!A$11:D$15,4,0), 0)</f>
        <v>0</v>
      </c>
      <c r="X440" s="44">
        <f>IF(Esiehdot!D$4&gt;=IFERROR(VLOOKUP(E440,Valintalistat!D$2:H$7,5,0), 99),1,0)</f>
        <v>0</v>
      </c>
      <c r="Y440" s="44">
        <f>IF(Esiehdot!D$5&gt;=IFERROR(VLOOKUP(F440,Valintalistat!E$2:H$5,4,0), 99),1,0)</f>
        <v>0</v>
      </c>
      <c r="Z440" s="44">
        <f>IF(Esiehdot!D$6&gt;=IFERROR(VLOOKUP(G440,Valintalistat!F$2:H$5,3,0),99),1,0)</f>
        <v>0</v>
      </c>
      <c r="AA440" s="44">
        <f>IF(Esiehdot!D$8&gt;=IFERROR(VLOOKUP(H440,Valintalistat!G$2:H$5,2,0),99),1,0)</f>
        <v>0</v>
      </c>
      <c r="AB440" s="43">
        <f t="shared" si="56"/>
        <v>0</v>
      </c>
      <c r="AC440" s="44">
        <f>IF(Esiehdot!E$4=IFERROR(VLOOKUP(E440,Valintalistat!D$2:H$7,5,0),99),1,0)</f>
        <v>0</v>
      </c>
      <c r="AD440" s="44">
        <f>IF(Esiehdot!E$5=IFERROR(VLOOKUP(F440,Valintalistat!E$2:H$5,4,0),99),1,0)</f>
        <v>0</v>
      </c>
      <c r="AE440" s="44">
        <f>IF(Esiehdot!E$6=IFERROR(VLOOKUP(G440,Valintalistat!F$2:H$5,3,0),99),1,0)</f>
        <v>0</v>
      </c>
      <c r="AF440" s="44">
        <f>IF(Esiehdot!E$8=IFERROR(VLOOKUP(H440,Valintalistat!G$2:H$3,2,0),98),1,0)</f>
        <v>0</v>
      </c>
      <c r="AG440" s="43">
        <f t="shared" si="57"/>
        <v>0</v>
      </c>
      <c r="AH440" s="43">
        <f>IFERROR(HLOOKUP(Esiehdot!$B$17,Käyttötapauskriteerit!G$1:P223,440,0),1)</f>
        <v>1</v>
      </c>
      <c r="AI440" s="43">
        <f t="shared" si="58"/>
        <v>0</v>
      </c>
      <c r="AJ440" s="43">
        <f t="shared" si="59"/>
        <v>0</v>
      </c>
      <c r="AK440" s="43">
        <f t="shared" si="60"/>
        <v>0</v>
      </c>
      <c r="AL440" s="43">
        <f t="shared" si="61"/>
        <v>0</v>
      </c>
      <c r="AM440" s="43"/>
      <c r="AN440" s="45" t="str">
        <f t="shared" si="62"/>
        <v/>
      </c>
    </row>
    <row r="441" spans="1:40" ht="15.6">
      <c r="A441" s="5"/>
      <c r="B441" s="5"/>
      <c r="E441" s="17"/>
      <c r="F441" s="17"/>
      <c r="G441" s="17"/>
      <c r="H441" s="17"/>
      <c r="I441" s="17"/>
      <c r="J441" s="17"/>
      <c r="K441" s="17"/>
      <c r="L441" s="32"/>
      <c r="M441" s="61"/>
      <c r="N441" s="23"/>
      <c r="O441" s="23"/>
      <c r="P441" s="9"/>
      <c r="Q441" s="9"/>
      <c r="R441" s="9"/>
      <c r="S441" s="9"/>
      <c r="U441" s="42" t="str">
        <f t="shared" si="54"/>
        <v>, L:, E:, S:, TS:</v>
      </c>
      <c r="V441" s="42" t="str">
        <f t="shared" si="55"/>
        <v/>
      </c>
      <c r="W441" s="43">
        <f>IFERROR(VLOOKUP(A441,Esiehdot!A$11:D$15,4,0), 0)</f>
        <v>0</v>
      </c>
      <c r="X441" s="44">
        <f>IF(Esiehdot!D$4&gt;=IFERROR(VLOOKUP(E441,Valintalistat!D$2:H$7,5,0), 99),1,0)</f>
        <v>0</v>
      </c>
      <c r="Y441" s="44">
        <f>IF(Esiehdot!D$5&gt;=IFERROR(VLOOKUP(F441,Valintalistat!E$2:H$5,4,0), 99),1,0)</f>
        <v>0</v>
      </c>
      <c r="Z441" s="44">
        <f>IF(Esiehdot!D$6&gt;=IFERROR(VLOOKUP(G441,Valintalistat!F$2:H$5,3,0),99),1,0)</f>
        <v>0</v>
      </c>
      <c r="AA441" s="44">
        <f>IF(Esiehdot!D$8&gt;=IFERROR(VLOOKUP(H441,Valintalistat!G$2:H$5,2,0),99),1,0)</f>
        <v>0</v>
      </c>
      <c r="AB441" s="43">
        <f t="shared" si="56"/>
        <v>0</v>
      </c>
      <c r="AC441" s="44">
        <f>IF(Esiehdot!E$4=IFERROR(VLOOKUP(E441,Valintalistat!D$2:H$7,5,0),99),1,0)</f>
        <v>0</v>
      </c>
      <c r="AD441" s="44">
        <f>IF(Esiehdot!E$5=IFERROR(VLOOKUP(F441,Valintalistat!E$2:H$5,4,0),99),1,0)</f>
        <v>0</v>
      </c>
      <c r="AE441" s="44">
        <f>IF(Esiehdot!E$6=IFERROR(VLOOKUP(G441,Valintalistat!F$2:H$5,3,0),99),1,0)</f>
        <v>0</v>
      </c>
      <c r="AF441" s="44">
        <f>IF(Esiehdot!E$8=IFERROR(VLOOKUP(H441,Valintalistat!G$2:H$3,2,0),98),1,0)</f>
        <v>0</v>
      </c>
      <c r="AG441" s="43">
        <f t="shared" si="57"/>
        <v>0</v>
      </c>
      <c r="AH441" s="43">
        <f>IFERROR(HLOOKUP(Esiehdot!$B$17,Käyttötapauskriteerit!G$1:P223,441,0),1)</f>
        <v>1</v>
      </c>
      <c r="AI441" s="43">
        <f t="shared" si="58"/>
        <v>0</v>
      </c>
      <c r="AJ441" s="43">
        <f t="shared" si="59"/>
        <v>0</v>
      </c>
      <c r="AK441" s="43">
        <f t="shared" si="60"/>
        <v>0</v>
      </c>
      <c r="AL441" s="43">
        <f t="shared" si="61"/>
        <v>0</v>
      </c>
      <c r="AM441" s="43"/>
      <c r="AN441" s="45" t="str">
        <f t="shared" si="62"/>
        <v/>
      </c>
    </row>
    <row r="442" spans="1:40" ht="15.6">
      <c r="A442" s="5"/>
      <c r="B442" s="5"/>
      <c r="E442" s="17"/>
      <c r="F442" s="17"/>
      <c r="G442" s="17"/>
      <c r="H442" s="17"/>
      <c r="I442" s="17"/>
      <c r="J442" s="17"/>
      <c r="K442" s="17"/>
      <c r="L442" s="32"/>
      <c r="M442" s="61"/>
      <c r="N442" s="23"/>
      <c r="O442" s="23"/>
      <c r="P442" s="9"/>
      <c r="Q442" s="9"/>
      <c r="R442" s="9"/>
      <c r="S442" s="9"/>
      <c r="U442" s="42" t="str">
        <f t="shared" si="54"/>
        <v>, L:, E:, S:, TS:</v>
      </c>
      <c r="V442" s="42" t="str">
        <f t="shared" si="55"/>
        <v/>
      </c>
      <c r="W442" s="43">
        <f>IFERROR(VLOOKUP(A442,Esiehdot!A$11:D$15,4,0), 0)</f>
        <v>0</v>
      </c>
      <c r="X442" s="44">
        <f>IF(Esiehdot!D$4&gt;=IFERROR(VLOOKUP(E442,Valintalistat!D$2:H$7,5,0), 99),1,0)</f>
        <v>0</v>
      </c>
      <c r="Y442" s="44">
        <f>IF(Esiehdot!D$5&gt;=IFERROR(VLOOKUP(F442,Valintalistat!E$2:H$5,4,0), 99),1,0)</f>
        <v>0</v>
      </c>
      <c r="Z442" s="44">
        <f>IF(Esiehdot!D$6&gt;=IFERROR(VLOOKUP(G442,Valintalistat!F$2:H$5,3,0),99),1,0)</f>
        <v>0</v>
      </c>
      <c r="AA442" s="44">
        <f>IF(Esiehdot!D$8&gt;=IFERROR(VLOOKUP(H442,Valintalistat!G$2:H$5,2,0),99),1,0)</f>
        <v>0</v>
      </c>
      <c r="AB442" s="43">
        <f t="shared" si="56"/>
        <v>0</v>
      </c>
      <c r="AC442" s="44">
        <f>IF(Esiehdot!E$4=IFERROR(VLOOKUP(E442,Valintalistat!D$2:H$7,5,0),99),1,0)</f>
        <v>0</v>
      </c>
      <c r="AD442" s="44">
        <f>IF(Esiehdot!E$5=IFERROR(VLOOKUP(F442,Valintalistat!E$2:H$5,4,0),99),1,0)</f>
        <v>0</v>
      </c>
      <c r="AE442" s="44">
        <f>IF(Esiehdot!E$6=IFERROR(VLOOKUP(G442,Valintalistat!F$2:H$5,3,0),99),1,0)</f>
        <v>0</v>
      </c>
      <c r="AF442" s="44">
        <f>IF(Esiehdot!E$8=IFERROR(VLOOKUP(H442,Valintalistat!G$2:H$3,2,0),98),1,0)</f>
        <v>0</v>
      </c>
      <c r="AG442" s="43">
        <f t="shared" si="57"/>
        <v>0</v>
      </c>
      <c r="AH442" s="43">
        <f>IFERROR(HLOOKUP(Esiehdot!$B$17,Käyttötapauskriteerit!G$1:P223,442,0),1)</f>
        <v>1</v>
      </c>
      <c r="AI442" s="43">
        <f t="shared" si="58"/>
        <v>0</v>
      </c>
      <c r="AJ442" s="43">
        <f t="shared" si="59"/>
        <v>0</v>
      </c>
      <c r="AK442" s="43">
        <f t="shared" si="60"/>
        <v>0</v>
      </c>
      <c r="AL442" s="43">
        <f t="shared" si="61"/>
        <v>0</v>
      </c>
      <c r="AM442" s="43"/>
      <c r="AN442" s="45" t="str">
        <f t="shared" si="62"/>
        <v/>
      </c>
    </row>
    <row r="443" spans="1:40" ht="15.6">
      <c r="A443" s="5"/>
      <c r="B443" s="5"/>
      <c r="E443" s="17"/>
      <c r="F443" s="17"/>
      <c r="G443" s="17"/>
      <c r="H443" s="17"/>
      <c r="I443" s="17"/>
      <c r="J443" s="17"/>
      <c r="K443" s="17"/>
      <c r="L443" s="32"/>
      <c r="M443" s="61"/>
      <c r="N443" s="23"/>
      <c r="O443" s="23"/>
      <c r="P443" s="9"/>
      <c r="Q443" s="9"/>
      <c r="R443" s="9"/>
      <c r="S443" s="9"/>
      <c r="U443" s="42" t="str">
        <f t="shared" si="54"/>
        <v>, L:, E:, S:, TS:</v>
      </c>
      <c r="V443" s="42" t="str">
        <f t="shared" si="55"/>
        <v/>
      </c>
      <c r="W443" s="43">
        <f>IFERROR(VLOOKUP(A443,Esiehdot!A$11:D$15,4,0), 0)</f>
        <v>0</v>
      </c>
      <c r="X443" s="44">
        <f>IF(Esiehdot!D$4&gt;=IFERROR(VLOOKUP(E443,Valintalistat!D$2:H$7,5,0), 99),1,0)</f>
        <v>0</v>
      </c>
      <c r="Y443" s="44">
        <f>IF(Esiehdot!D$5&gt;=IFERROR(VLOOKUP(F443,Valintalistat!E$2:H$5,4,0), 99),1,0)</f>
        <v>0</v>
      </c>
      <c r="Z443" s="44">
        <f>IF(Esiehdot!D$6&gt;=IFERROR(VLOOKUP(G443,Valintalistat!F$2:H$5,3,0),99),1,0)</f>
        <v>0</v>
      </c>
      <c r="AA443" s="44">
        <f>IF(Esiehdot!D$8&gt;=IFERROR(VLOOKUP(H443,Valintalistat!G$2:H$5,2,0),99),1,0)</f>
        <v>0</v>
      </c>
      <c r="AB443" s="43">
        <f t="shared" si="56"/>
        <v>0</v>
      </c>
      <c r="AC443" s="44">
        <f>IF(Esiehdot!E$4=IFERROR(VLOOKUP(E443,Valintalistat!D$2:H$7,5,0),99),1,0)</f>
        <v>0</v>
      </c>
      <c r="AD443" s="44">
        <f>IF(Esiehdot!E$5=IFERROR(VLOOKUP(F443,Valintalistat!E$2:H$5,4,0),99),1,0)</f>
        <v>0</v>
      </c>
      <c r="AE443" s="44">
        <f>IF(Esiehdot!E$6=IFERROR(VLOOKUP(G443,Valintalistat!F$2:H$5,3,0),99),1,0)</f>
        <v>0</v>
      </c>
      <c r="AF443" s="44">
        <f>IF(Esiehdot!E$8=IFERROR(VLOOKUP(H443,Valintalistat!G$2:H$3,2,0),98),1,0)</f>
        <v>0</v>
      </c>
      <c r="AG443" s="43">
        <f t="shared" si="57"/>
        <v>0</v>
      </c>
      <c r="AH443" s="43">
        <f>IFERROR(HLOOKUP(Esiehdot!$B$17,Käyttötapauskriteerit!G$1:P223,443,0),1)</f>
        <v>1</v>
      </c>
      <c r="AI443" s="43">
        <f t="shared" si="58"/>
        <v>0</v>
      </c>
      <c r="AJ443" s="43">
        <f t="shared" si="59"/>
        <v>0</v>
      </c>
      <c r="AK443" s="43">
        <f t="shared" si="60"/>
        <v>0</v>
      </c>
      <c r="AL443" s="43">
        <f t="shared" si="61"/>
        <v>0</v>
      </c>
      <c r="AM443" s="43"/>
      <c r="AN443" s="45" t="str">
        <f t="shared" si="62"/>
        <v/>
      </c>
    </row>
    <row r="444" spans="1:40" ht="15.6">
      <c r="A444" s="5"/>
      <c r="B444" s="5"/>
      <c r="E444" s="17"/>
      <c r="F444" s="17"/>
      <c r="G444" s="17"/>
      <c r="H444" s="17"/>
      <c r="I444" s="17"/>
      <c r="J444" s="17"/>
      <c r="K444" s="17"/>
      <c r="L444" s="32"/>
      <c r="M444" s="61"/>
      <c r="N444" s="23"/>
      <c r="O444" s="23"/>
      <c r="P444" s="9"/>
      <c r="Q444" s="9"/>
      <c r="R444" s="9"/>
      <c r="S444" s="9"/>
      <c r="U444" s="42" t="str">
        <f t="shared" si="54"/>
        <v>, L:, E:, S:, TS:</v>
      </c>
      <c r="V444" s="42" t="str">
        <f t="shared" si="55"/>
        <v/>
      </c>
      <c r="W444" s="43">
        <f>IFERROR(VLOOKUP(A444,Esiehdot!A$11:D$15,4,0), 0)</f>
        <v>0</v>
      </c>
      <c r="X444" s="44">
        <f>IF(Esiehdot!D$4&gt;=IFERROR(VLOOKUP(E444,Valintalistat!D$2:H$7,5,0), 99),1,0)</f>
        <v>0</v>
      </c>
      <c r="Y444" s="44">
        <f>IF(Esiehdot!D$5&gt;=IFERROR(VLOOKUP(F444,Valintalistat!E$2:H$5,4,0), 99),1,0)</f>
        <v>0</v>
      </c>
      <c r="Z444" s="44">
        <f>IF(Esiehdot!D$6&gt;=IFERROR(VLOOKUP(G444,Valintalistat!F$2:H$5,3,0),99),1,0)</f>
        <v>0</v>
      </c>
      <c r="AA444" s="44">
        <f>IF(Esiehdot!D$8&gt;=IFERROR(VLOOKUP(H444,Valintalistat!G$2:H$5,2,0),99),1,0)</f>
        <v>0</v>
      </c>
      <c r="AB444" s="43">
        <f t="shared" si="56"/>
        <v>0</v>
      </c>
      <c r="AC444" s="44">
        <f>IF(Esiehdot!E$4=IFERROR(VLOOKUP(E444,Valintalistat!D$2:H$7,5,0),99),1,0)</f>
        <v>0</v>
      </c>
      <c r="AD444" s="44">
        <f>IF(Esiehdot!E$5=IFERROR(VLOOKUP(F444,Valintalistat!E$2:H$5,4,0),99),1,0)</f>
        <v>0</v>
      </c>
      <c r="AE444" s="44">
        <f>IF(Esiehdot!E$6=IFERROR(VLOOKUP(G444,Valintalistat!F$2:H$5,3,0),99),1,0)</f>
        <v>0</v>
      </c>
      <c r="AF444" s="44">
        <f>IF(Esiehdot!E$8=IFERROR(VLOOKUP(H444,Valintalistat!G$2:H$3,2,0),98),1,0)</f>
        <v>0</v>
      </c>
      <c r="AG444" s="43">
        <f t="shared" si="57"/>
        <v>0</v>
      </c>
      <c r="AH444" s="43">
        <f>IFERROR(HLOOKUP(Esiehdot!$B$17,Käyttötapauskriteerit!G$1:P223,444,0),1)</f>
        <v>1</v>
      </c>
      <c r="AI444" s="43">
        <f t="shared" si="58"/>
        <v>0</v>
      </c>
      <c r="AJ444" s="43">
        <f t="shared" si="59"/>
        <v>0</v>
      </c>
      <c r="AK444" s="43">
        <f t="shared" si="60"/>
        <v>0</v>
      </c>
      <c r="AL444" s="43">
        <f t="shared" si="61"/>
        <v>0</v>
      </c>
      <c r="AM444" s="43"/>
      <c r="AN444" s="45" t="str">
        <f t="shared" si="62"/>
        <v/>
      </c>
    </row>
    <row r="445" spans="1:40" ht="15.6">
      <c r="A445" s="5"/>
      <c r="B445" s="5"/>
      <c r="E445" s="17"/>
      <c r="F445" s="17"/>
      <c r="G445" s="17"/>
      <c r="H445" s="17"/>
      <c r="I445" s="17"/>
      <c r="J445" s="17"/>
      <c r="K445" s="17"/>
      <c r="L445" s="32"/>
      <c r="M445" s="61"/>
      <c r="N445" s="23"/>
      <c r="O445" s="23"/>
      <c r="P445" s="9"/>
      <c r="Q445" s="9"/>
      <c r="R445" s="9"/>
      <c r="S445" s="9"/>
      <c r="U445" s="42" t="str">
        <f t="shared" si="54"/>
        <v>, L:, E:, S:, TS:</v>
      </c>
      <c r="V445" s="42" t="str">
        <f t="shared" si="55"/>
        <v/>
      </c>
      <c r="W445" s="43">
        <f>IFERROR(VLOOKUP(A445,Esiehdot!A$11:D$15,4,0), 0)</f>
        <v>0</v>
      </c>
      <c r="X445" s="44">
        <f>IF(Esiehdot!D$4&gt;=IFERROR(VLOOKUP(E445,Valintalistat!D$2:H$7,5,0), 99),1,0)</f>
        <v>0</v>
      </c>
      <c r="Y445" s="44">
        <f>IF(Esiehdot!D$5&gt;=IFERROR(VLOOKUP(F445,Valintalistat!E$2:H$5,4,0), 99),1,0)</f>
        <v>0</v>
      </c>
      <c r="Z445" s="44">
        <f>IF(Esiehdot!D$6&gt;=IFERROR(VLOOKUP(G445,Valintalistat!F$2:H$5,3,0),99),1,0)</f>
        <v>0</v>
      </c>
      <c r="AA445" s="44">
        <f>IF(Esiehdot!D$8&gt;=IFERROR(VLOOKUP(H445,Valintalistat!G$2:H$5,2,0),99),1,0)</f>
        <v>0</v>
      </c>
      <c r="AB445" s="43">
        <f t="shared" si="56"/>
        <v>0</v>
      </c>
      <c r="AC445" s="44">
        <f>IF(Esiehdot!E$4=IFERROR(VLOOKUP(E445,Valintalistat!D$2:H$7,5,0),99),1,0)</f>
        <v>0</v>
      </c>
      <c r="AD445" s="44">
        <f>IF(Esiehdot!E$5=IFERROR(VLOOKUP(F445,Valintalistat!E$2:H$5,4,0),99),1,0)</f>
        <v>0</v>
      </c>
      <c r="AE445" s="44">
        <f>IF(Esiehdot!E$6=IFERROR(VLOOKUP(G445,Valintalistat!F$2:H$5,3,0),99),1,0)</f>
        <v>0</v>
      </c>
      <c r="AF445" s="44">
        <f>IF(Esiehdot!E$8=IFERROR(VLOOKUP(H445,Valintalistat!G$2:H$3,2,0),98),1,0)</f>
        <v>0</v>
      </c>
      <c r="AG445" s="43">
        <f t="shared" si="57"/>
        <v>0</v>
      </c>
      <c r="AH445" s="43">
        <f>IFERROR(HLOOKUP(Esiehdot!$B$17,Käyttötapauskriteerit!G$1:P223,445,0),1)</f>
        <v>1</v>
      </c>
      <c r="AI445" s="43">
        <f t="shared" si="58"/>
        <v>0</v>
      </c>
      <c r="AJ445" s="43">
        <f t="shared" si="59"/>
        <v>0</v>
      </c>
      <c r="AK445" s="43">
        <f t="shared" si="60"/>
        <v>0</v>
      </c>
      <c r="AL445" s="43">
        <f t="shared" si="61"/>
        <v>0</v>
      </c>
      <c r="AM445" s="43"/>
      <c r="AN445" s="45" t="str">
        <f t="shared" si="62"/>
        <v/>
      </c>
    </row>
    <row r="446" spans="1:40" ht="15.6">
      <c r="A446" s="5"/>
      <c r="B446" s="5"/>
      <c r="E446" s="17"/>
      <c r="F446" s="17"/>
      <c r="G446" s="17"/>
      <c r="H446" s="17"/>
      <c r="I446" s="17"/>
      <c r="J446" s="17"/>
      <c r="K446" s="17"/>
      <c r="L446" s="32"/>
      <c r="M446" s="61"/>
      <c r="N446" s="23"/>
      <c r="O446" s="23"/>
      <c r="P446" s="9"/>
      <c r="Q446" s="9"/>
      <c r="R446" s="9"/>
      <c r="S446" s="9"/>
      <c r="U446" s="42" t="str">
        <f t="shared" si="54"/>
        <v>, L:, E:, S:, TS:</v>
      </c>
      <c r="V446" s="42" t="str">
        <f t="shared" si="55"/>
        <v/>
      </c>
      <c r="W446" s="43">
        <f>IFERROR(VLOOKUP(A446,Esiehdot!A$11:D$15,4,0), 0)</f>
        <v>0</v>
      </c>
      <c r="X446" s="44">
        <f>IF(Esiehdot!D$4&gt;=IFERROR(VLOOKUP(E446,Valintalistat!D$2:H$7,5,0), 99),1,0)</f>
        <v>0</v>
      </c>
      <c r="Y446" s="44">
        <f>IF(Esiehdot!D$5&gt;=IFERROR(VLOOKUP(F446,Valintalistat!E$2:H$5,4,0), 99),1,0)</f>
        <v>0</v>
      </c>
      <c r="Z446" s="44">
        <f>IF(Esiehdot!D$6&gt;=IFERROR(VLOOKUP(G446,Valintalistat!F$2:H$5,3,0),99),1,0)</f>
        <v>0</v>
      </c>
      <c r="AA446" s="44">
        <f>IF(Esiehdot!D$8&gt;=IFERROR(VLOOKUP(H446,Valintalistat!G$2:H$5,2,0),99),1,0)</f>
        <v>0</v>
      </c>
      <c r="AB446" s="43">
        <f t="shared" si="56"/>
        <v>0</v>
      </c>
      <c r="AC446" s="44">
        <f>IF(Esiehdot!E$4=IFERROR(VLOOKUP(E446,Valintalistat!D$2:H$7,5,0),99),1,0)</f>
        <v>0</v>
      </c>
      <c r="AD446" s="44">
        <f>IF(Esiehdot!E$5=IFERROR(VLOOKUP(F446,Valintalistat!E$2:H$5,4,0),99),1,0)</f>
        <v>0</v>
      </c>
      <c r="AE446" s="44">
        <f>IF(Esiehdot!E$6=IFERROR(VLOOKUP(G446,Valintalistat!F$2:H$5,3,0),99),1,0)</f>
        <v>0</v>
      </c>
      <c r="AF446" s="44">
        <f>IF(Esiehdot!E$8=IFERROR(VLOOKUP(H446,Valintalistat!G$2:H$3,2,0),98),1,0)</f>
        <v>0</v>
      </c>
      <c r="AG446" s="43">
        <f t="shared" si="57"/>
        <v>0</v>
      </c>
      <c r="AH446" s="43">
        <f>IFERROR(HLOOKUP(Esiehdot!$B$17,Käyttötapauskriteerit!G$1:P223,446,0),1)</f>
        <v>1</v>
      </c>
      <c r="AI446" s="43">
        <f t="shared" si="58"/>
        <v>0</v>
      </c>
      <c r="AJ446" s="43">
        <f t="shared" si="59"/>
        <v>0</v>
      </c>
      <c r="AK446" s="43">
        <f t="shared" si="60"/>
        <v>0</v>
      </c>
      <c r="AL446" s="43">
        <f t="shared" si="61"/>
        <v>0</v>
      </c>
      <c r="AM446" s="43"/>
      <c r="AN446" s="45" t="str">
        <f t="shared" si="62"/>
        <v/>
      </c>
    </row>
    <row r="447" spans="1:40" ht="15.6">
      <c r="A447" s="5"/>
      <c r="B447" s="5"/>
      <c r="E447" s="17"/>
      <c r="F447" s="17"/>
      <c r="G447" s="17"/>
      <c r="H447" s="17"/>
      <c r="I447" s="17"/>
      <c r="J447" s="17"/>
      <c r="K447" s="17"/>
      <c r="L447" s="32"/>
      <c r="M447" s="61"/>
      <c r="N447" s="23"/>
      <c r="O447" s="23"/>
      <c r="P447" s="9"/>
      <c r="Q447" s="9"/>
      <c r="R447" s="9"/>
      <c r="S447" s="9"/>
      <c r="U447" s="42" t="str">
        <f t="shared" si="54"/>
        <v>, L:, E:, S:, TS:</v>
      </c>
      <c r="V447" s="42" t="str">
        <f t="shared" si="55"/>
        <v/>
      </c>
      <c r="W447" s="43">
        <f>IFERROR(VLOOKUP(A447,Esiehdot!A$11:D$15,4,0), 0)</f>
        <v>0</v>
      </c>
      <c r="X447" s="44">
        <f>IF(Esiehdot!D$4&gt;=IFERROR(VLOOKUP(E447,Valintalistat!D$2:H$7,5,0), 99),1,0)</f>
        <v>0</v>
      </c>
      <c r="Y447" s="44">
        <f>IF(Esiehdot!D$5&gt;=IFERROR(VLOOKUP(F447,Valintalistat!E$2:H$5,4,0), 99),1,0)</f>
        <v>0</v>
      </c>
      <c r="Z447" s="44">
        <f>IF(Esiehdot!D$6&gt;=IFERROR(VLOOKUP(G447,Valintalistat!F$2:H$5,3,0),99),1,0)</f>
        <v>0</v>
      </c>
      <c r="AA447" s="44">
        <f>IF(Esiehdot!D$8&gt;=IFERROR(VLOOKUP(H447,Valintalistat!G$2:H$5,2,0),99),1,0)</f>
        <v>0</v>
      </c>
      <c r="AB447" s="43">
        <f t="shared" si="56"/>
        <v>0</v>
      </c>
      <c r="AC447" s="44">
        <f>IF(Esiehdot!E$4=IFERROR(VLOOKUP(E447,Valintalistat!D$2:H$7,5,0),99),1,0)</f>
        <v>0</v>
      </c>
      <c r="AD447" s="44">
        <f>IF(Esiehdot!E$5=IFERROR(VLOOKUP(F447,Valintalistat!E$2:H$5,4,0),99),1,0)</f>
        <v>0</v>
      </c>
      <c r="AE447" s="44">
        <f>IF(Esiehdot!E$6=IFERROR(VLOOKUP(G447,Valintalistat!F$2:H$5,3,0),99),1,0)</f>
        <v>0</v>
      </c>
      <c r="AF447" s="44">
        <f>IF(Esiehdot!E$8=IFERROR(VLOOKUP(H447,Valintalistat!G$2:H$3,2,0),98),1,0)</f>
        <v>0</v>
      </c>
      <c r="AG447" s="43">
        <f t="shared" si="57"/>
        <v>0</v>
      </c>
      <c r="AH447" s="43">
        <f>IFERROR(HLOOKUP(Esiehdot!$B$17,Käyttötapauskriteerit!G$1:P223,447,0),1)</f>
        <v>1</v>
      </c>
      <c r="AI447" s="43">
        <f t="shared" si="58"/>
        <v>0</v>
      </c>
      <c r="AJ447" s="43">
        <f t="shared" si="59"/>
        <v>0</v>
      </c>
      <c r="AK447" s="43">
        <f t="shared" si="60"/>
        <v>0</v>
      </c>
      <c r="AL447" s="43">
        <f t="shared" si="61"/>
        <v>0</v>
      </c>
      <c r="AM447" s="43"/>
      <c r="AN447" s="45" t="str">
        <f t="shared" si="62"/>
        <v/>
      </c>
    </row>
    <row r="448" spans="1:40" ht="15.6">
      <c r="A448" s="5"/>
      <c r="B448" s="5"/>
      <c r="E448" s="17"/>
      <c r="F448" s="17"/>
      <c r="G448" s="17"/>
      <c r="H448" s="17"/>
      <c r="I448" s="17"/>
      <c r="J448" s="17"/>
      <c r="K448" s="17"/>
      <c r="L448" s="32"/>
      <c r="M448" s="61"/>
      <c r="N448" s="23"/>
      <c r="O448" s="23"/>
      <c r="P448" s="9"/>
      <c r="Q448" s="9"/>
      <c r="R448" s="9"/>
      <c r="S448" s="9"/>
      <c r="U448" s="42" t="str">
        <f t="shared" si="54"/>
        <v>, L:, E:, S:, TS:</v>
      </c>
      <c r="V448" s="42" t="str">
        <f t="shared" si="55"/>
        <v/>
      </c>
      <c r="W448" s="43">
        <f>IFERROR(VLOOKUP(A448,Esiehdot!A$11:D$15,4,0), 0)</f>
        <v>0</v>
      </c>
      <c r="X448" s="44">
        <f>IF(Esiehdot!D$4&gt;=IFERROR(VLOOKUP(E448,Valintalistat!D$2:H$7,5,0), 99),1,0)</f>
        <v>0</v>
      </c>
      <c r="Y448" s="44">
        <f>IF(Esiehdot!D$5&gt;=IFERROR(VLOOKUP(F448,Valintalistat!E$2:H$5,4,0), 99),1,0)</f>
        <v>0</v>
      </c>
      <c r="Z448" s="44">
        <f>IF(Esiehdot!D$6&gt;=IFERROR(VLOOKUP(G448,Valintalistat!F$2:H$5,3,0),99),1,0)</f>
        <v>0</v>
      </c>
      <c r="AA448" s="44">
        <f>IF(Esiehdot!D$8&gt;=IFERROR(VLOOKUP(H448,Valintalistat!G$2:H$5,2,0),99),1,0)</f>
        <v>0</v>
      </c>
      <c r="AB448" s="43">
        <f t="shared" si="56"/>
        <v>0</v>
      </c>
      <c r="AC448" s="44">
        <f>IF(Esiehdot!E$4=IFERROR(VLOOKUP(E448,Valintalistat!D$2:H$7,5,0),99),1,0)</f>
        <v>0</v>
      </c>
      <c r="AD448" s="44">
        <f>IF(Esiehdot!E$5=IFERROR(VLOOKUP(F448,Valintalistat!E$2:H$5,4,0),99),1,0)</f>
        <v>0</v>
      </c>
      <c r="AE448" s="44">
        <f>IF(Esiehdot!E$6=IFERROR(VLOOKUP(G448,Valintalistat!F$2:H$5,3,0),99),1,0)</f>
        <v>0</v>
      </c>
      <c r="AF448" s="44">
        <f>IF(Esiehdot!E$8=IFERROR(VLOOKUP(H448,Valintalistat!G$2:H$3,2,0),98),1,0)</f>
        <v>0</v>
      </c>
      <c r="AG448" s="43">
        <f t="shared" si="57"/>
        <v>0</v>
      </c>
      <c r="AH448" s="43">
        <f>IFERROR(HLOOKUP(Esiehdot!$B$17,Käyttötapauskriteerit!G$1:P223,448,0),1)</f>
        <v>1</v>
      </c>
      <c r="AI448" s="43">
        <f t="shared" si="58"/>
        <v>0</v>
      </c>
      <c r="AJ448" s="43">
        <f t="shared" si="59"/>
        <v>0</v>
      </c>
      <c r="AK448" s="43">
        <f t="shared" si="60"/>
        <v>0</v>
      </c>
      <c r="AL448" s="43">
        <f t="shared" si="61"/>
        <v>0</v>
      </c>
      <c r="AM448" s="43"/>
      <c r="AN448" s="45" t="str">
        <f t="shared" si="62"/>
        <v/>
      </c>
    </row>
    <row r="449" spans="1:40" ht="15.6">
      <c r="A449" s="5"/>
      <c r="B449" s="5"/>
      <c r="E449" s="17"/>
      <c r="F449" s="17"/>
      <c r="G449" s="17"/>
      <c r="H449" s="17"/>
      <c r="I449" s="17"/>
      <c r="J449" s="17"/>
      <c r="K449" s="17"/>
      <c r="L449" s="32"/>
      <c r="M449" s="61"/>
      <c r="N449" s="23"/>
      <c r="O449" s="23"/>
      <c r="P449" s="9"/>
      <c r="Q449" s="9"/>
      <c r="R449" s="9"/>
      <c r="S449" s="9"/>
      <c r="U449" s="42" t="str">
        <f t="shared" si="54"/>
        <v>, L:, E:, S:, TS:</v>
      </c>
      <c r="V449" s="42" t="str">
        <f t="shared" si="55"/>
        <v/>
      </c>
      <c r="W449" s="43">
        <f>IFERROR(VLOOKUP(A449,Esiehdot!A$11:D$15,4,0), 0)</f>
        <v>0</v>
      </c>
      <c r="X449" s="44">
        <f>IF(Esiehdot!D$4&gt;=IFERROR(VLOOKUP(E449,Valintalistat!D$2:H$7,5,0), 99),1,0)</f>
        <v>0</v>
      </c>
      <c r="Y449" s="44">
        <f>IF(Esiehdot!D$5&gt;=IFERROR(VLOOKUP(F449,Valintalistat!E$2:H$5,4,0), 99),1,0)</f>
        <v>0</v>
      </c>
      <c r="Z449" s="44">
        <f>IF(Esiehdot!D$6&gt;=IFERROR(VLOOKUP(G449,Valintalistat!F$2:H$5,3,0),99),1,0)</f>
        <v>0</v>
      </c>
      <c r="AA449" s="44">
        <f>IF(Esiehdot!D$8&gt;=IFERROR(VLOOKUP(H449,Valintalistat!G$2:H$5,2,0),99),1,0)</f>
        <v>0</v>
      </c>
      <c r="AB449" s="43">
        <f t="shared" si="56"/>
        <v>0</v>
      </c>
      <c r="AC449" s="44">
        <f>IF(Esiehdot!E$4=IFERROR(VLOOKUP(E449,Valintalistat!D$2:H$7,5,0),99),1,0)</f>
        <v>0</v>
      </c>
      <c r="AD449" s="44">
        <f>IF(Esiehdot!E$5=IFERROR(VLOOKUP(F449,Valintalistat!E$2:H$5,4,0),99),1,0)</f>
        <v>0</v>
      </c>
      <c r="AE449" s="44">
        <f>IF(Esiehdot!E$6=IFERROR(VLOOKUP(G449,Valintalistat!F$2:H$5,3,0),99),1,0)</f>
        <v>0</v>
      </c>
      <c r="AF449" s="44">
        <f>IF(Esiehdot!E$8=IFERROR(VLOOKUP(H449,Valintalistat!G$2:H$3,2,0),98),1,0)</f>
        <v>0</v>
      </c>
      <c r="AG449" s="43">
        <f t="shared" si="57"/>
        <v>0</v>
      </c>
      <c r="AH449" s="43">
        <f>IFERROR(HLOOKUP(Esiehdot!$B$17,Käyttötapauskriteerit!G$1:P223,449,0),1)</f>
        <v>1</v>
      </c>
      <c r="AI449" s="43">
        <f t="shared" si="58"/>
        <v>0</v>
      </c>
      <c r="AJ449" s="43">
        <f t="shared" si="59"/>
        <v>0</v>
      </c>
      <c r="AK449" s="43">
        <f t="shared" si="60"/>
        <v>0</v>
      </c>
      <c r="AL449" s="43">
        <f t="shared" si="61"/>
        <v>0</v>
      </c>
      <c r="AM449" s="43"/>
      <c r="AN449" s="45" t="str">
        <f t="shared" si="62"/>
        <v/>
      </c>
    </row>
    <row r="450" spans="1:40" ht="15.6">
      <c r="A450" s="5"/>
      <c r="B450" s="5"/>
      <c r="E450" s="17"/>
      <c r="F450" s="17"/>
      <c r="G450" s="17"/>
      <c r="H450" s="17"/>
      <c r="I450" s="17"/>
      <c r="J450" s="17"/>
      <c r="K450" s="17"/>
      <c r="L450" s="32"/>
      <c r="M450" s="61"/>
      <c r="N450" s="23"/>
      <c r="O450" s="23"/>
      <c r="P450" s="9"/>
      <c r="Q450" s="9"/>
      <c r="R450" s="9"/>
      <c r="S450" s="9"/>
      <c r="U450" s="42" t="str">
        <f t="shared" si="54"/>
        <v>, L:, E:, S:, TS:</v>
      </c>
      <c r="V450" s="42" t="str">
        <f t="shared" si="55"/>
        <v/>
      </c>
      <c r="W450" s="43">
        <f>IFERROR(VLOOKUP(A450,Esiehdot!A$11:D$15,4,0), 0)</f>
        <v>0</v>
      </c>
      <c r="X450" s="44">
        <f>IF(Esiehdot!D$4&gt;=IFERROR(VLOOKUP(E450,Valintalistat!D$2:H$7,5,0), 99),1,0)</f>
        <v>0</v>
      </c>
      <c r="Y450" s="44">
        <f>IF(Esiehdot!D$5&gt;=IFERROR(VLOOKUP(F450,Valintalistat!E$2:H$5,4,0), 99),1,0)</f>
        <v>0</v>
      </c>
      <c r="Z450" s="44">
        <f>IF(Esiehdot!D$6&gt;=IFERROR(VLOOKUP(G450,Valintalistat!F$2:H$5,3,0),99),1,0)</f>
        <v>0</v>
      </c>
      <c r="AA450" s="44">
        <f>IF(Esiehdot!D$8&gt;=IFERROR(VLOOKUP(H450,Valintalistat!G$2:H$5,2,0),99),1,0)</f>
        <v>0</v>
      </c>
      <c r="AB450" s="43">
        <f t="shared" si="56"/>
        <v>0</v>
      </c>
      <c r="AC450" s="44">
        <f>IF(Esiehdot!E$4=IFERROR(VLOOKUP(E450,Valintalistat!D$2:H$7,5,0),99),1,0)</f>
        <v>0</v>
      </c>
      <c r="AD450" s="44">
        <f>IF(Esiehdot!E$5=IFERROR(VLOOKUP(F450,Valintalistat!E$2:H$5,4,0),99),1,0)</f>
        <v>0</v>
      </c>
      <c r="AE450" s="44">
        <f>IF(Esiehdot!E$6=IFERROR(VLOOKUP(G450,Valintalistat!F$2:H$5,3,0),99),1,0)</f>
        <v>0</v>
      </c>
      <c r="AF450" s="44">
        <f>IF(Esiehdot!E$8=IFERROR(VLOOKUP(H450,Valintalistat!G$2:H$3,2,0),98),1,0)</f>
        <v>0</v>
      </c>
      <c r="AG450" s="43">
        <f t="shared" si="57"/>
        <v>0</v>
      </c>
      <c r="AH450" s="43">
        <f>IFERROR(HLOOKUP(Esiehdot!$B$17,Käyttötapauskriteerit!G$1:P223,450,0),1)</f>
        <v>1</v>
      </c>
      <c r="AI450" s="43">
        <f t="shared" si="58"/>
        <v>0</v>
      </c>
      <c r="AJ450" s="43">
        <f t="shared" si="59"/>
        <v>0</v>
      </c>
      <c r="AK450" s="43">
        <f t="shared" si="60"/>
        <v>0</v>
      </c>
      <c r="AL450" s="43">
        <f t="shared" si="61"/>
        <v>0</v>
      </c>
      <c r="AM450" s="43"/>
      <c r="AN450" s="45" t="str">
        <f t="shared" si="62"/>
        <v/>
      </c>
    </row>
    <row r="451" spans="1:40" ht="15.6">
      <c r="A451" s="5"/>
      <c r="B451" s="5"/>
      <c r="E451" s="17"/>
      <c r="F451" s="17"/>
      <c r="G451" s="17"/>
      <c r="H451" s="17"/>
      <c r="I451" s="17"/>
      <c r="J451" s="17"/>
      <c r="K451" s="17"/>
      <c r="L451" s="32"/>
      <c r="M451" s="61"/>
      <c r="N451" s="23"/>
      <c r="O451" s="23"/>
      <c r="P451" s="9"/>
      <c r="Q451" s="9"/>
      <c r="R451" s="9"/>
      <c r="S451" s="9"/>
      <c r="U451" s="42" t="str">
        <f t="shared" ref="U451:U501" si="63">CONCATENATE(C451,", L:",E451,", E:",F451,", S:",G451,", TS:",H451)</f>
        <v>, L:, E:, S:, TS:</v>
      </c>
      <c r="V451" s="42" t="str">
        <f t="shared" ref="V451:V501" si="64">IF(R451="",IF(S451="","",CONCATENATE("Katakri: ",S451)),IF(S451="",CONCATENATE("Julkri: ",R451),CONCATENATE("Julkri: ",R451,"; Katakri: ",S451)))</f>
        <v/>
      </c>
      <c r="W451" s="43">
        <f>IFERROR(VLOOKUP(A451,Esiehdot!A$11:D$15,4,0), 0)</f>
        <v>0</v>
      </c>
      <c r="X451" s="44">
        <f>IF(Esiehdot!D$4&gt;=IFERROR(VLOOKUP(E451,Valintalistat!D$2:H$7,5,0), 99),1,0)</f>
        <v>0</v>
      </c>
      <c r="Y451" s="44">
        <f>IF(Esiehdot!D$5&gt;=IFERROR(VLOOKUP(F451,Valintalistat!E$2:H$5,4,0), 99),1,0)</f>
        <v>0</v>
      </c>
      <c r="Z451" s="44">
        <f>IF(Esiehdot!D$6&gt;=IFERROR(VLOOKUP(G451,Valintalistat!F$2:H$5,3,0),99),1,0)</f>
        <v>0</v>
      </c>
      <c r="AA451" s="44">
        <f>IF(Esiehdot!D$8&gt;=IFERROR(VLOOKUP(H451,Valintalistat!G$2:H$5,2,0),99),1,0)</f>
        <v>0</v>
      </c>
      <c r="AB451" s="43">
        <f t="shared" ref="AB451:AB501" si="65">IF(X451+Y451+Z451+AA451=0,0,1)</f>
        <v>0</v>
      </c>
      <c r="AC451" s="44">
        <f>IF(Esiehdot!E$4=IFERROR(VLOOKUP(E451,Valintalistat!D$2:H$7,5,0),99),1,0)</f>
        <v>0</v>
      </c>
      <c r="AD451" s="44">
        <f>IF(Esiehdot!E$5=IFERROR(VLOOKUP(F451,Valintalistat!E$2:H$5,4,0),99),1,0)</f>
        <v>0</v>
      </c>
      <c r="AE451" s="44">
        <f>IF(Esiehdot!E$6=IFERROR(VLOOKUP(G451,Valintalistat!F$2:H$5,3,0),99),1,0)</f>
        <v>0</v>
      </c>
      <c r="AF451" s="44">
        <f>IF(Esiehdot!E$8=IFERROR(VLOOKUP(H451,Valintalistat!G$2:H$3,2,0),98),1,0)</f>
        <v>0</v>
      </c>
      <c r="AG451" s="43">
        <f t="shared" ref="AG451:AG501" si="66">IF(AC451+AD451+AE451+AF451&gt;X451+Y451+Z451+AA451,1,0)</f>
        <v>0</v>
      </c>
      <c r="AH451" s="43">
        <f>IFERROR(HLOOKUP(Esiehdot!$B$17,Käyttötapauskriteerit!G$1:P223,451,0),1)</f>
        <v>1</v>
      </c>
      <c r="AI451" s="43">
        <f t="shared" ref="AI451:AI501" si="67">IF(W451*AB451*AH451=1,1,0)</f>
        <v>0</v>
      </c>
      <c r="AJ451" s="43">
        <f t="shared" ref="AJ451:AJ501" si="68">IF(W451*AB451*AH451=2,1,0)</f>
        <v>0</v>
      </c>
      <c r="AK451" s="43">
        <f t="shared" ref="AK451:AK501" si="69">IF(W451*AG451*AH451=1,1,0)</f>
        <v>0</v>
      </c>
      <c r="AL451" s="43">
        <f t="shared" ref="AL451:AL501" si="70">IF(W451*AG451*AH451=2,1,0)</f>
        <v>0</v>
      </c>
      <c r="AM451" s="43"/>
      <c r="AN451" s="45" t="str">
        <f t="shared" ref="AN451:AN501" si="71">IF(C451="","",IF(AI451=1,"Olennainen",IF(AJ451=1,"Valinnainen",IF(AK451=1,"Valinnainen",IF(AL451=1,"Valinnainen","Ei ehdoteta hankintaan")))))</f>
        <v/>
      </c>
    </row>
    <row r="452" spans="1:40" ht="15.6">
      <c r="A452" s="5"/>
      <c r="B452" s="5"/>
      <c r="E452" s="17"/>
      <c r="F452" s="17"/>
      <c r="G452" s="17"/>
      <c r="H452" s="17"/>
      <c r="I452" s="17"/>
      <c r="J452" s="17"/>
      <c r="K452" s="17"/>
      <c r="L452" s="32"/>
      <c r="M452" s="61"/>
      <c r="N452" s="23"/>
      <c r="O452" s="23"/>
      <c r="P452" s="9"/>
      <c r="Q452" s="9"/>
      <c r="R452" s="9"/>
      <c r="S452" s="9"/>
      <c r="U452" s="42" t="str">
        <f t="shared" si="63"/>
        <v>, L:, E:, S:, TS:</v>
      </c>
      <c r="V452" s="42" t="str">
        <f t="shared" si="64"/>
        <v/>
      </c>
      <c r="W452" s="43">
        <f>IFERROR(VLOOKUP(A452,Esiehdot!A$11:D$15,4,0), 0)</f>
        <v>0</v>
      </c>
      <c r="X452" s="44">
        <f>IF(Esiehdot!D$4&gt;=IFERROR(VLOOKUP(E452,Valintalistat!D$2:H$7,5,0), 99),1,0)</f>
        <v>0</v>
      </c>
      <c r="Y452" s="44">
        <f>IF(Esiehdot!D$5&gt;=IFERROR(VLOOKUP(F452,Valintalistat!E$2:H$5,4,0), 99),1,0)</f>
        <v>0</v>
      </c>
      <c r="Z452" s="44">
        <f>IF(Esiehdot!D$6&gt;=IFERROR(VLOOKUP(G452,Valintalistat!F$2:H$5,3,0),99),1,0)</f>
        <v>0</v>
      </c>
      <c r="AA452" s="44">
        <f>IF(Esiehdot!D$8&gt;=IFERROR(VLOOKUP(H452,Valintalistat!G$2:H$5,2,0),99),1,0)</f>
        <v>0</v>
      </c>
      <c r="AB452" s="43">
        <f t="shared" si="65"/>
        <v>0</v>
      </c>
      <c r="AC452" s="44">
        <f>IF(Esiehdot!E$4=IFERROR(VLOOKUP(E452,Valintalistat!D$2:H$7,5,0),99),1,0)</f>
        <v>0</v>
      </c>
      <c r="AD452" s="44">
        <f>IF(Esiehdot!E$5=IFERROR(VLOOKUP(F452,Valintalistat!E$2:H$5,4,0),99),1,0)</f>
        <v>0</v>
      </c>
      <c r="AE452" s="44">
        <f>IF(Esiehdot!E$6=IFERROR(VLOOKUP(G452,Valintalistat!F$2:H$5,3,0),99),1,0)</f>
        <v>0</v>
      </c>
      <c r="AF452" s="44">
        <f>IF(Esiehdot!E$8=IFERROR(VLOOKUP(H452,Valintalistat!G$2:H$3,2,0),98),1,0)</f>
        <v>0</v>
      </c>
      <c r="AG452" s="43">
        <f t="shared" si="66"/>
        <v>0</v>
      </c>
      <c r="AH452" s="43">
        <f>IFERROR(HLOOKUP(Esiehdot!$B$17,Käyttötapauskriteerit!G$1:P223,452,0),1)</f>
        <v>1</v>
      </c>
      <c r="AI452" s="43">
        <f t="shared" si="67"/>
        <v>0</v>
      </c>
      <c r="AJ452" s="43">
        <f t="shared" si="68"/>
        <v>0</v>
      </c>
      <c r="AK452" s="43">
        <f t="shared" si="69"/>
        <v>0</v>
      </c>
      <c r="AL452" s="43">
        <f t="shared" si="70"/>
        <v>0</v>
      </c>
      <c r="AM452" s="43"/>
      <c r="AN452" s="45" t="str">
        <f t="shared" si="71"/>
        <v/>
      </c>
    </row>
    <row r="453" spans="1:40" ht="15.6">
      <c r="A453" s="5"/>
      <c r="B453" s="5"/>
      <c r="E453" s="17"/>
      <c r="F453" s="17"/>
      <c r="G453" s="17"/>
      <c r="H453" s="17"/>
      <c r="I453" s="17"/>
      <c r="J453" s="17"/>
      <c r="K453" s="17"/>
      <c r="L453" s="32"/>
      <c r="M453" s="61"/>
      <c r="N453" s="23"/>
      <c r="O453" s="23"/>
      <c r="P453" s="9"/>
      <c r="Q453" s="9"/>
      <c r="R453" s="9"/>
      <c r="S453" s="9"/>
      <c r="U453" s="42" t="str">
        <f t="shared" si="63"/>
        <v>, L:, E:, S:, TS:</v>
      </c>
      <c r="V453" s="42" t="str">
        <f t="shared" si="64"/>
        <v/>
      </c>
      <c r="W453" s="43">
        <f>IFERROR(VLOOKUP(A453,Esiehdot!A$11:D$15,4,0), 0)</f>
        <v>0</v>
      </c>
      <c r="X453" s="44">
        <f>IF(Esiehdot!D$4&gt;=IFERROR(VLOOKUP(E453,Valintalistat!D$2:H$7,5,0), 99),1,0)</f>
        <v>0</v>
      </c>
      <c r="Y453" s="44">
        <f>IF(Esiehdot!D$5&gt;=IFERROR(VLOOKUP(F453,Valintalistat!E$2:H$5,4,0), 99),1,0)</f>
        <v>0</v>
      </c>
      <c r="Z453" s="44">
        <f>IF(Esiehdot!D$6&gt;=IFERROR(VLOOKUP(G453,Valintalistat!F$2:H$5,3,0),99),1,0)</f>
        <v>0</v>
      </c>
      <c r="AA453" s="44">
        <f>IF(Esiehdot!D$8&gt;=IFERROR(VLOOKUP(H453,Valintalistat!G$2:H$5,2,0),99),1,0)</f>
        <v>0</v>
      </c>
      <c r="AB453" s="43">
        <f t="shared" si="65"/>
        <v>0</v>
      </c>
      <c r="AC453" s="44">
        <f>IF(Esiehdot!E$4=IFERROR(VLOOKUP(E453,Valintalistat!D$2:H$7,5,0),99),1,0)</f>
        <v>0</v>
      </c>
      <c r="AD453" s="44">
        <f>IF(Esiehdot!E$5=IFERROR(VLOOKUP(F453,Valintalistat!E$2:H$5,4,0),99),1,0)</f>
        <v>0</v>
      </c>
      <c r="AE453" s="44">
        <f>IF(Esiehdot!E$6=IFERROR(VLOOKUP(G453,Valintalistat!F$2:H$5,3,0),99),1,0)</f>
        <v>0</v>
      </c>
      <c r="AF453" s="44">
        <f>IF(Esiehdot!E$8=IFERROR(VLOOKUP(H453,Valintalistat!G$2:H$3,2,0),98),1,0)</f>
        <v>0</v>
      </c>
      <c r="AG453" s="43">
        <f t="shared" si="66"/>
        <v>0</v>
      </c>
      <c r="AH453" s="43">
        <f>IFERROR(HLOOKUP(Esiehdot!$B$17,Käyttötapauskriteerit!G$1:P223,453,0),1)</f>
        <v>1</v>
      </c>
      <c r="AI453" s="43">
        <f t="shared" si="67"/>
        <v>0</v>
      </c>
      <c r="AJ453" s="43">
        <f t="shared" si="68"/>
        <v>0</v>
      </c>
      <c r="AK453" s="43">
        <f t="shared" si="69"/>
        <v>0</v>
      </c>
      <c r="AL453" s="43">
        <f t="shared" si="70"/>
        <v>0</v>
      </c>
      <c r="AM453" s="43"/>
      <c r="AN453" s="45" t="str">
        <f t="shared" si="71"/>
        <v/>
      </c>
    </row>
    <row r="454" spans="1:40" ht="15.6">
      <c r="A454" s="5"/>
      <c r="B454" s="5"/>
      <c r="E454" s="17"/>
      <c r="F454" s="17"/>
      <c r="G454" s="17"/>
      <c r="H454" s="17"/>
      <c r="I454" s="17"/>
      <c r="J454" s="17"/>
      <c r="K454" s="17"/>
      <c r="L454" s="32"/>
      <c r="M454" s="61"/>
      <c r="N454" s="23"/>
      <c r="O454" s="23"/>
      <c r="P454" s="9"/>
      <c r="Q454" s="9"/>
      <c r="R454" s="9"/>
      <c r="S454" s="9"/>
      <c r="U454" s="42" t="str">
        <f t="shared" si="63"/>
        <v>, L:, E:, S:, TS:</v>
      </c>
      <c r="V454" s="42" t="str">
        <f t="shared" si="64"/>
        <v/>
      </c>
      <c r="W454" s="43">
        <f>IFERROR(VLOOKUP(A454,Esiehdot!A$11:D$15,4,0), 0)</f>
        <v>0</v>
      </c>
      <c r="X454" s="44">
        <f>IF(Esiehdot!D$4&gt;=IFERROR(VLOOKUP(E454,Valintalistat!D$2:H$7,5,0), 99),1,0)</f>
        <v>0</v>
      </c>
      <c r="Y454" s="44">
        <f>IF(Esiehdot!D$5&gt;=IFERROR(VLOOKUP(F454,Valintalistat!E$2:H$5,4,0), 99),1,0)</f>
        <v>0</v>
      </c>
      <c r="Z454" s="44">
        <f>IF(Esiehdot!D$6&gt;=IFERROR(VLOOKUP(G454,Valintalistat!F$2:H$5,3,0),99),1,0)</f>
        <v>0</v>
      </c>
      <c r="AA454" s="44">
        <f>IF(Esiehdot!D$8&gt;=IFERROR(VLOOKUP(H454,Valintalistat!G$2:H$5,2,0),99),1,0)</f>
        <v>0</v>
      </c>
      <c r="AB454" s="43">
        <f t="shared" si="65"/>
        <v>0</v>
      </c>
      <c r="AC454" s="44">
        <f>IF(Esiehdot!E$4=IFERROR(VLOOKUP(E454,Valintalistat!D$2:H$7,5,0),99),1,0)</f>
        <v>0</v>
      </c>
      <c r="AD454" s="44">
        <f>IF(Esiehdot!E$5=IFERROR(VLOOKUP(F454,Valintalistat!E$2:H$5,4,0),99),1,0)</f>
        <v>0</v>
      </c>
      <c r="AE454" s="44">
        <f>IF(Esiehdot!E$6=IFERROR(VLOOKUP(G454,Valintalistat!F$2:H$5,3,0),99),1,0)</f>
        <v>0</v>
      </c>
      <c r="AF454" s="44">
        <f>IF(Esiehdot!E$8=IFERROR(VLOOKUP(H454,Valintalistat!G$2:H$3,2,0),98),1,0)</f>
        <v>0</v>
      </c>
      <c r="AG454" s="43">
        <f t="shared" si="66"/>
        <v>0</v>
      </c>
      <c r="AH454" s="43">
        <f>IFERROR(HLOOKUP(Esiehdot!$B$17,Käyttötapauskriteerit!G$1:P223,454,0),1)</f>
        <v>1</v>
      </c>
      <c r="AI454" s="43">
        <f t="shared" si="67"/>
        <v>0</v>
      </c>
      <c r="AJ454" s="43">
        <f t="shared" si="68"/>
        <v>0</v>
      </c>
      <c r="AK454" s="43">
        <f t="shared" si="69"/>
        <v>0</v>
      </c>
      <c r="AL454" s="43">
        <f t="shared" si="70"/>
        <v>0</v>
      </c>
      <c r="AM454" s="43"/>
      <c r="AN454" s="45" t="str">
        <f t="shared" si="71"/>
        <v/>
      </c>
    </row>
    <row r="455" spans="1:40" ht="15.6">
      <c r="A455" s="5"/>
      <c r="B455" s="5"/>
      <c r="E455" s="17"/>
      <c r="F455" s="17"/>
      <c r="G455" s="17"/>
      <c r="H455" s="17"/>
      <c r="I455" s="17"/>
      <c r="J455" s="17"/>
      <c r="K455" s="17"/>
      <c r="L455" s="32"/>
      <c r="M455" s="61"/>
      <c r="N455" s="23"/>
      <c r="O455" s="23"/>
      <c r="P455" s="9"/>
      <c r="Q455" s="9"/>
      <c r="R455" s="9"/>
      <c r="S455" s="9"/>
      <c r="U455" s="42" t="str">
        <f t="shared" si="63"/>
        <v>, L:, E:, S:, TS:</v>
      </c>
      <c r="V455" s="42" t="str">
        <f t="shared" si="64"/>
        <v/>
      </c>
      <c r="W455" s="43">
        <f>IFERROR(VLOOKUP(A455,Esiehdot!A$11:D$15,4,0), 0)</f>
        <v>0</v>
      </c>
      <c r="X455" s="44">
        <f>IF(Esiehdot!D$4&gt;=IFERROR(VLOOKUP(E455,Valintalistat!D$2:H$7,5,0), 99),1,0)</f>
        <v>0</v>
      </c>
      <c r="Y455" s="44">
        <f>IF(Esiehdot!D$5&gt;=IFERROR(VLOOKUP(F455,Valintalistat!E$2:H$5,4,0), 99),1,0)</f>
        <v>0</v>
      </c>
      <c r="Z455" s="44">
        <f>IF(Esiehdot!D$6&gt;=IFERROR(VLOOKUP(G455,Valintalistat!F$2:H$5,3,0),99),1,0)</f>
        <v>0</v>
      </c>
      <c r="AA455" s="44">
        <f>IF(Esiehdot!D$8&gt;=IFERROR(VLOOKUP(H455,Valintalistat!G$2:H$5,2,0),99),1,0)</f>
        <v>0</v>
      </c>
      <c r="AB455" s="43">
        <f t="shared" si="65"/>
        <v>0</v>
      </c>
      <c r="AC455" s="44">
        <f>IF(Esiehdot!E$4=IFERROR(VLOOKUP(E455,Valintalistat!D$2:H$7,5,0),99),1,0)</f>
        <v>0</v>
      </c>
      <c r="AD455" s="44">
        <f>IF(Esiehdot!E$5=IFERROR(VLOOKUP(F455,Valintalistat!E$2:H$5,4,0),99),1,0)</f>
        <v>0</v>
      </c>
      <c r="AE455" s="44">
        <f>IF(Esiehdot!E$6=IFERROR(VLOOKUP(G455,Valintalistat!F$2:H$5,3,0),99),1,0)</f>
        <v>0</v>
      </c>
      <c r="AF455" s="44">
        <f>IF(Esiehdot!E$8=IFERROR(VLOOKUP(H455,Valintalistat!G$2:H$3,2,0),98),1,0)</f>
        <v>0</v>
      </c>
      <c r="AG455" s="43">
        <f t="shared" si="66"/>
        <v>0</v>
      </c>
      <c r="AH455" s="43">
        <f>IFERROR(HLOOKUP(Esiehdot!$B$17,Käyttötapauskriteerit!G$1:P223,455,0),1)</f>
        <v>1</v>
      </c>
      <c r="AI455" s="43">
        <f t="shared" si="67"/>
        <v>0</v>
      </c>
      <c r="AJ455" s="43">
        <f t="shared" si="68"/>
        <v>0</v>
      </c>
      <c r="AK455" s="43">
        <f t="shared" si="69"/>
        <v>0</v>
      </c>
      <c r="AL455" s="43">
        <f t="shared" si="70"/>
        <v>0</v>
      </c>
      <c r="AM455" s="43"/>
      <c r="AN455" s="45" t="str">
        <f t="shared" si="71"/>
        <v/>
      </c>
    </row>
    <row r="456" spans="1:40" ht="15.6">
      <c r="A456" s="5"/>
      <c r="B456" s="5"/>
      <c r="E456" s="17"/>
      <c r="F456" s="17"/>
      <c r="G456" s="17"/>
      <c r="H456" s="17"/>
      <c r="I456" s="17"/>
      <c r="J456" s="17"/>
      <c r="K456" s="17"/>
      <c r="L456" s="32"/>
      <c r="M456" s="61"/>
      <c r="N456" s="23"/>
      <c r="O456" s="23"/>
      <c r="P456" s="9"/>
      <c r="Q456" s="9"/>
      <c r="R456" s="9"/>
      <c r="S456" s="9"/>
      <c r="U456" s="42" t="str">
        <f t="shared" si="63"/>
        <v>, L:, E:, S:, TS:</v>
      </c>
      <c r="V456" s="42" t="str">
        <f t="shared" si="64"/>
        <v/>
      </c>
      <c r="W456" s="43">
        <f>IFERROR(VLOOKUP(A456,Esiehdot!A$11:D$15,4,0), 0)</f>
        <v>0</v>
      </c>
      <c r="X456" s="44">
        <f>IF(Esiehdot!D$4&gt;=IFERROR(VLOOKUP(E456,Valintalistat!D$2:H$7,5,0), 99),1,0)</f>
        <v>0</v>
      </c>
      <c r="Y456" s="44">
        <f>IF(Esiehdot!D$5&gt;=IFERROR(VLOOKUP(F456,Valintalistat!E$2:H$5,4,0), 99),1,0)</f>
        <v>0</v>
      </c>
      <c r="Z456" s="44">
        <f>IF(Esiehdot!D$6&gt;=IFERROR(VLOOKUP(G456,Valintalistat!F$2:H$5,3,0),99),1,0)</f>
        <v>0</v>
      </c>
      <c r="AA456" s="44">
        <f>IF(Esiehdot!D$8&gt;=IFERROR(VLOOKUP(H456,Valintalistat!G$2:H$5,2,0),99),1,0)</f>
        <v>0</v>
      </c>
      <c r="AB456" s="43">
        <f t="shared" si="65"/>
        <v>0</v>
      </c>
      <c r="AC456" s="44">
        <f>IF(Esiehdot!E$4=IFERROR(VLOOKUP(E456,Valintalistat!D$2:H$7,5,0),99),1,0)</f>
        <v>0</v>
      </c>
      <c r="AD456" s="44">
        <f>IF(Esiehdot!E$5=IFERROR(VLOOKUP(F456,Valintalistat!E$2:H$5,4,0),99),1,0)</f>
        <v>0</v>
      </c>
      <c r="AE456" s="44">
        <f>IF(Esiehdot!E$6=IFERROR(VLOOKUP(G456,Valintalistat!F$2:H$5,3,0),99),1,0)</f>
        <v>0</v>
      </c>
      <c r="AF456" s="44">
        <f>IF(Esiehdot!E$8=IFERROR(VLOOKUP(H456,Valintalistat!G$2:H$3,2,0),98),1,0)</f>
        <v>0</v>
      </c>
      <c r="AG456" s="43">
        <f t="shared" si="66"/>
        <v>0</v>
      </c>
      <c r="AH456" s="43">
        <f>IFERROR(HLOOKUP(Esiehdot!$B$17,Käyttötapauskriteerit!G$1:P223,456,0),1)</f>
        <v>1</v>
      </c>
      <c r="AI456" s="43">
        <f t="shared" si="67"/>
        <v>0</v>
      </c>
      <c r="AJ456" s="43">
        <f t="shared" si="68"/>
        <v>0</v>
      </c>
      <c r="AK456" s="43">
        <f t="shared" si="69"/>
        <v>0</v>
      </c>
      <c r="AL456" s="43">
        <f t="shared" si="70"/>
        <v>0</v>
      </c>
      <c r="AM456" s="43"/>
      <c r="AN456" s="45" t="str">
        <f t="shared" si="71"/>
        <v/>
      </c>
    </row>
    <row r="457" spans="1:40" ht="15.6">
      <c r="A457" s="5"/>
      <c r="B457" s="5"/>
      <c r="E457" s="17"/>
      <c r="F457" s="17"/>
      <c r="G457" s="17"/>
      <c r="H457" s="17"/>
      <c r="I457" s="17"/>
      <c r="J457" s="17"/>
      <c r="K457" s="17"/>
      <c r="L457" s="32"/>
      <c r="M457" s="61"/>
      <c r="N457" s="23"/>
      <c r="O457" s="23"/>
      <c r="P457" s="9"/>
      <c r="Q457" s="9"/>
      <c r="R457" s="9"/>
      <c r="S457" s="9"/>
      <c r="U457" s="42" t="str">
        <f t="shared" si="63"/>
        <v>, L:, E:, S:, TS:</v>
      </c>
      <c r="V457" s="42" t="str">
        <f t="shared" si="64"/>
        <v/>
      </c>
      <c r="W457" s="43">
        <f>IFERROR(VLOOKUP(A457,Esiehdot!A$11:D$15,4,0), 0)</f>
        <v>0</v>
      </c>
      <c r="X457" s="44">
        <f>IF(Esiehdot!D$4&gt;=IFERROR(VLOOKUP(E457,Valintalistat!D$2:H$7,5,0), 99),1,0)</f>
        <v>0</v>
      </c>
      <c r="Y457" s="44">
        <f>IF(Esiehdot!D$5&gt;=IFERROR(VLOOKUP(F457,Valintalistat!E$2:H$5,4,0), 99),1,0)</f>
        <v>0</v>
      </c>
      <c r="Z457" s="44">
        <f>IF(Esiehdot!D$6&gt;=IFERROR(VLOOKUP(G457,Valintalistat!F$2:H$5,3,0),99),1,0)</f>
        <v>0</v>
      </c>
      <c r="AA457" s="44">
        <f>IF(Esiehdot!D$8&gt;=IFERROR(VLOOKUP(H457,Valintalistat!G$2:H$5,2,0),99),1,0)</f>
        <v>0</v>
      </c>
      <c r="AB457" s="43">
        <f t="shared" si="65"/>
        <v>0</v>
      </c>
      <c r="AC457" s="44">
        <f>IF(Esiehdot!E$4=IFERROR(VLOOKUP(E457,Valintalistat!D$2:H$7,5,0),99),1,0)</f>
        <v>0</v>
      </c>
      <c r="AD457" s="44">
        <f>IF(Esiehdot!E$5=IFERROR(VLOOKUP(F457,Valintalistat!E$2:H$5,4,0),99),1,0)</f>
        <v>0</v>
      </c>
      <c r="AE457" s="44">
        <f>IF(Esiehdot!E$6=IFERROR(VLOOKUP(G457,Valintalistat!F$2:H$5,3,0),99),1,0)</f>
        <v>0</v>
      </c>
      <c r="AF457" s="44">
        <f>IF(Esiehdot!E$8=IFERROR(VLOOKUP(H457,Valintalistat!G$2:H$3,2,0),98),1,0)</f>
        <v>0</v>
      </c>
      <c r="AG457" s="43">
        <f t="shared" si="66"/>
        <v>0</v>
      </c>
      <c r="AH457" s="43">
        <f>IFERROR(HLOOKUP(Esiehdot!$B$17,Käyttötapauskriteerit!G$1:P223,457,0),1)</f>
        <v>1</v>
      </c>
      <c r="AI457" s="43">
        <f t="shared" si="67"/>
        <v>0</v>
      </c>
      <c r="AJ457" s="43">
        <f t="shared" si="68"/>
        <v>0</v>
      </c>
      <c r="AK457" s="43">
        <f t="shared" si="69"/>
        <v>0</v>
      </c>
      <c r="AL457" s="43">
        <f t="shared" si="70"/>
        <v>0</v>
      </c>
      <c r="AM457" s="43"/>
      <c r="AN457" s="45" t="str">
        <f t="shared" si="71"/>
        <v/>
      </c>
    </row>
    <row r="458" spans="1:40" ht="15.6">
      <c r="A458" s="5"/>
      <c r="B458" s="5"/>
      <c r="E458" s="17"/>
      <c r="F458" s="17"/>
      <c r="G458" s="17"/>
      <c r="H458" s="17"/>
      <c r="I458" s="17"/>
      <c r="J458" s="17"/>
      <c r="K458" s="17"/>
      <c r="L458" s="32"/>
      <c r="M458" s="61"/>
      <c r="N458" s="23"/>
      <c r="O458" s="23"/>
      <c r="P458" s="9"/>
      <c r="Q458" s="9"/>
      <c r="R458" s="9"/>
      <c r="S458" s="9"/>
      <c r="U458" s="42" t="str">
        <f t="shared" si="63"/>
        <v>, L:, E:, S:, TS:</v>
      </c>
      <c r="V458" s="42" t="str">
        <f t="shared" si="64"/>
        <v/>
      </c>
      <c r="W458" s="43">
        <f>IFERROR(VLOOKUP(A458,Esiehdot!A$11:D$15,4,0), 0)</f>
        <v>0</v>
      </c>
      <c r="X458" s="44">
        <f>IF(Esiehdot!D$4&gt;=IFERROR(VLOOKUP(E458,Valintalistat!D$2:H$7,5,0), 99),1,0)</f>
        <v>0</v>
      </c>
      <c r="Y458" s="44">
        <f>IF(Esiehdot!D$5&gt;=IFERROR(VLOOKUP(F458,Valintalistat!E$2:H$5,4,0), 99),1,0)</f>
        <v>0</v>
      </c>
      <c r="Z458" s="44">
        <f>IF(Esiehdot!D$6&gt;=IFERROR(VLOOKUP(G458,Valintalistat!F$2:H$5,3,0),99),1,0)</f>
        <v>0</v>
      </c>
      <c r="AA458" s="44">
        <f>IF(Esiehdot!D$8&gt;=IFERROR(VLOOKUP(H458,Valintalistat!G$2:H$5,2,0),99),1,0)</f>
        <v>0</v>
      </c>
      <c r="AB458" s="43">
        <f t="shared" si="65"/>
        <v>0</v>
      </c>
      <c r="AC458" s="44">
        <f>IF(Esiehdot!E$4=IFERROR(VLOOKUP(E458,Valintalistat!D$2:H$7,5,0),99),1,0)</f>
        <v>0</v>
      </c>
      <c r="AD458" s="44">
        <f>IF(Esiehdot!E$5=IFERROR(VLOOKUP(F458,Valintalistat!E$2:H$5,4,0),99),1,0)</f>
        <v>0</v>
      </c>
      <c r="AE458" s="44">
        <f>IF(Esiehdot!E$6=IFERROR(VLOOKUP(G458,Valintalistat!F$2:H$5,3,0),99),1,0)</f>
        <v>0</v>
      </c>
      <c r="AF458" s="44">
        <f>IF(Esiehdot!E$8=IFERROR(VLOOKUP(H458,Valintalistat!G$2:H$3,2,0),98),1,0)</f>
        <v>0</v>
      </c>
      <c r="AG458" s="43">
        <f t="shared" si="66"/>
        <v>0</v>
      </c>
      <c r="AH458" s="43">
        <f>IFERROR(HLOOKUP(Esiehdot!$B$17,Käyttötapauskriteerit!G$1:P223,458,0),1)</f>
        <v>1</v>
      </c>
      <c r="AI458" s="43">
        <f t="shared" si="67"/>
        <v>0</v>
      </c>
      <c r="AJ458" s="43">
        <f t="shared" si="68"/>
        <v>0</v>
      </c>
      <c r="AK458" s="43">
        <f t="shared" si="69"/>
        <v>0</v>
      </c>
      <c r="AL458" s="43">
        <f t="shared" si="70"/>
        <v>0</v>
      </c>
      <c r="AM458" s="43"/>
      <c r="AN458" s="45" t="str">
        <f t="shared" si="71"/>
        <v/>
      </c>
    </row>
    <row r="459" spans="1:40" ht="15.6">
      <c r="A459" s="5"/>
      <c r="B459" s="5"/>
      <c r="E459" s="17"/>
      <c r="F459" s="17"/>
      <c r="G459" s="17"/>
      <c r="H459" s="17"/>
      <c r="I459" s="17"/>
      <c r="J459" s="17"/>
      <c r="K459" s="17"/>
      <c r="L459" s="32"/>
      <c r="M459" s="61"/>
      <c r="N459" s="23"/>
      <c r="O459" s="23"/>
      <c r="P459" s="9"/>
      <c r="Q459" s="9"/>
      <c r="R459" s="9"/>
      <c r="S459" s="9"/>
      <c r="U459" s="42" t="str">
        <f t="shared" si="63"/>
        <v>, L:, E:, S:, TS:</v>
      </c>
      <c r="V459" s="42" t="str">
        <f t="shared" si="64"/>
        <v/>
      </c>
      <c r="W459" s="43">
        <f>IFERROR(VLOOKUP(A459,Esiehdot!A$11:D$15,4,0), 0)</f>
        <v>0</v>
      </c>
      <c r="X459" s="44">
        <f>IF(Esiehdot!D$4&gt;=IFERROR(VLOOKUP(E459,Valintalistat!D$2:H$7,5,0), 99),1,0)</f>
        <v>0</v>
      </c>
      <c r="Y459" s="44">
        <f>IF(Esiehdot!D$5&gt;=IFERROR(VLOOKUP(F459,Valintalistat!E$2:H$5,4,0), 99),1,0)</f>
        <v>0</v>
      </c>
      <c r="Z459" s="44">
        <f>IF(Esiehdot!D$6&gt;=IFERROR(VLOOKUP(G459,Valintalistat!F$2:H$5,3,0),99),1,0)</f>
        <v>0</v>
      </c>
      <c r="AA459" s="44">
        <f>IF(Esiehdot!D$8&gt;=IFERROR(VLOOKUP(H459,Valintalistat!G$2:H$5,2,0),99),1,0)</f>
        <v>0</v>
      </c>
      <c r="AB459" s="43">
        <f t="shared" si="65"/>
        <v>0</v>
      </c>
      <c r="AC459" s="44">
        <f>IF(Esiehdot!E$4=IFERROR(VLOOKUP(E459,Valintalistat!D$2:H$7,5,0),99),1,0)</f>
        <v>0</v>
      </c>
      <c r="AD459" s="44">
        <f>IF(Esiehdot!E$5=IFERROR(VLOOKUP(F459,Valintalistat!E$2:H$5,4,0),99),1,0)</f>
        <v>0</v>
      </c>
      <c r="AE459" s="44">
        <f>IF(Esiehdot!E$6=IFERROR(VLOOKUP(G459,Valintalistat!F$2:H$5,3,0),99),1,0)</f>
        <v>0</v>
      </c>
      <c r="AF459" s="44">
        <f>IF(Esiehdot!E$8=IFERROR(VLOOKUP(H459,Valintalistat!G$2:H$3,2,0),98),1,0)</f>
        <v>0</v>
      </c>
      <c r="AG459" s="43">
        <f t="shared" si="66"/>
        <v>0</v>
      </c>
      <c r="AH459" s="43">
        <f>IFERROR(HLOOKUP(Esiehdot!$B$17,Käyttötapauskriteerit!G$1:P223,459,0),1)</f>
        <v>1</v>
      </c>
      <c r="AI459" s="43">
        <f t="shared" si="67"/>
        <v>0</v>
      </c>
      <c r="AJ459" s="43">
        <f t="shared" si="68"/>
        <v>0</v>
      </c>
      <c r="AK459" s="43">
        <f t="shared" si="69"/>
        <v>0</v>
      </c>
      <c r="AL459" s="43">
        <f t="shared" si="70"/>
        <v>0</v>
      </c>
      <c r="AM459" s="43"/>
      <c r="AN459" s="45" t="str">
        <f t="shared" si="71"/>
        <v/>
      </c>
    </row>
    <row r="460" spans="1:40" ht="15.6">
      <c r="A460" s="5"/>
      <c r="B460" s="5"/>
      <c r="E460" s="17"/>
      <c r="F460" s="17"/>
      <c r="G460" s="17"/>
      <c r="H460" s="17"/>
      <c r="I460" s="17"/>
      <c r="J460" s="17"/>
      <c r="K460" s="17"/>
      <c r="L460" s="32"/>
      <c r="M460" s="61"/>
      <c r="N460" s="23"/>
      <c r="O460" s="23"/>
      <c r="P460" s="9"/>
      <c r="Q460" s="9"/>
      <c r="R460" s="9"/>
      <c r="S460" s="9"/>
      <c r="U460" s="42" t="str">
        <f t="shared" si="63"/>
        <v>, L:, E:, S:, TS:</v>
      </c>
      <c r="V460" s="42" t="str">
        <f t="shared" si="64"/>
        <v/>
      </c>
      <c r="W460" s="43">
        <f>IFERROR(VLOOKUP(A460,Esiehdot!A$11:D$15,4,0), 0)</f>
        <v>0</v>
      </c>
      <c r="X460" s="44">
        <f>IF(Esiehdot!D$4&gt;=IFERROR(VLOOKUP(E460,Valintalistat!D$2:H$7,5,0), 99),1,0)</f>
        <v>0</v>
      </c>
      <c r="Y460" s="44">
        <f>IF(Esiehdot!D$5&gt;=IFERROR(VLOOKUP(F460,Valintalistat!E$2:H$5,4,0), 99),1,0)</f>
        <v>0</v>
      </c>
      <c r="Z460" s="44">
        <f>IF(Esiehdot!D$6&gt;=IFERROR(VLOOKUP(G460,Valintalistat!F$2:H$5,3,0),99),1,0)</f>
        <v>0</v>
      </c>
      <c r="AA460" s="44">
        <f>IF(Esiehdot!D$8&gt;=IFERROR(VLOOKUP(H460,Valintalistat!G$2:H$5,2,0),99),1,0)</f>
        <v>0</v>
      </c>
      <c r="AB460" s="43">
        <f t="shared" si="65"/>
        <v>0</v>
      </c>
      <c r="AC460" s="44">
        <f>IF(Esiehdot!E$4=IFERROR(VLOOKUP(E460,Valintalistat!D$2:H$7,5,0),99),1,0)</f>
        <v>0</v>
      </c>
      <c r="AD460" s="44">
        <f>IF(Esiehdot!E$5=IFERROR(VLOOKUP(F460,Valintalistat!E$2:H$5,4,0),99),1,0)</f>
        <v>0</v>
      </c>
      <c r="AE460" s="44">
        <f>IF(Esiehdot!E$6=IFERROR(VLOOKUP(G460,Valintalistat!F$2:H$5,3,0),99),1,0)</f>
        <v>0</v>
      </c>
      <c r="AF460" s="44">
        <f>IF(Esiehdot!E$8=IFERROR(VLOOKUP(H460,Valintalistat!G$2:H$3,2,0),98),1,0)</f>
        <v>0</v>
      </c>
      <c r="AG460" s="43">
        <f t="shared" si="66"/>
        <v>0</v>
      </c>
      <c r="AH460" s="43">
        <f>IFERROR(HLOOKUP(Esiehdot!$B$17,Käyttötapauskriteerit!G$1:P223,460,0),1)</f>
        <v>1</v>
      </c>
      <c r="AI460" s="43">
        <f t="shared" si="67"/>
        <v>0</v>
      </c>
      <c r="AJ460" s="43">
        <f t="shared" si="68"/>
        <v>0</v>
      </c>
      <c r="AK460" s="43">
        <f t="shared" si="69"/>
        <v>0</v>
      </c>
      <c r="AL460" s="43">
        <f t="shared" si="70"/>
        <v>0</v>
      </c>
      <c r="AM460" s="43"/>
      <c r="AN460" s="45" t="str">
        <f t="shared" si="71"/>
        <v/>
      </c>
    </row>
    <row r="461" spans="1:40" ht="15.6">
      <c r="A461" s="5"/>
      <c r="B461" s="5"/>
      <c r="E461" s="17"/>
      <c r="F461" s="17"/>
      <c r="G461" s="17"/>
      <c r="H461" s="17"/>
      <c r="I461" s="17"/>
      <c r="J461" s="17"/>
      <c r="K461" s="17"/>
      <c r="L461" s="32"/>
      <c r="M461" s="61"/>
      <c r="N461" s="23"/>
      <c r="O461" s="23"/>
      <c r="P461" s="9"/>
      <c r="Q461" s="9"/>
      <c r="R461" s="9"/>
      <c r="S461" s="9"/>
      <c r="U461" s="42" t="str">
        <f t="shared" si="63"/>
        <v>, L:, E:, S:, TS:</v>
      </c>
      <c r="V461" s="42" t="str">
        <f t="shared" si="64"/>
        <v/>
      </c>
      <c r="W461" s="43">
        <f>IFERROR(VLOOKUP(A461,Esiehdot!A$11:D$15,4,0), 0)</f>
        <v>0</v>
      </c>
      <c r="X461" s="44">
        <f>IF(Esiehdot!D$4&gt;=IFERROR(VLOOKUP(E461,Valintalistat!D$2:H$7,5,0), 99),1,0)</f>
        <v>0</v>
      </c>
      <c r="Y461" s="44">
        <f>IF(Esiehdot!D$5&gt;=IFERROR(VLOOKUP(F461,Valintalistat!E$2:H$5,4,0), 99),1,0)</f>
        <v>0</v>
      </c>
      <c r="Z461" s="44">
        <f>IF(Esiehdot!D$6&gt;=IFERROR(VLOOKUP(G461,Valintalistat!F$2:H$5,3,0),99),1,0)</f>
        <v>0</v>
      </c>
      <c r="AA461" s="44">
        <f>IF(Esiehdot!D$8&gt;=IFERROR(VLOOKUP(H461,Valintalistat!G$2:H$5,2,0),99),1,0)</f>
        <v>0</v>
      </c>
      <c r="AB461" s="43">
        <f t="shared" si="65"/>
        <v>0</v>
      </c>
      <c r="AC461" s="44">
        <f>IF(Esiehdot!E$4=IFERROR(VLOOKUP(E461,Valintalistat!D$2:H$7,5,0),99),1,0)</f>
        <v>0</v>
      </c>
      <c r="AD461" s="44">
        <f>IF(Esiehdot!E$5=IFERROR(VLOOKUP(F461,Valintalistat!E$2:H$5,4,0),99),1,0)</f>
        <v>0</v>
      </c>
      <c r="AE461" s="44">
        <f>IF(Esiehdot!E$6=IFERROR(VLOOKUP(G461,Valintalistat!F$2:H$5,3,0),99),1,0)</f>
        <v>0</v>
      </c>
      <c r="AF461" s="44">
        <f>IF(Esiehdot!E$8=IFERROR(VLOOKUP(H461,Valintalistat!G$2:H$3,2,0),98),1,0)</f>
        <v>0</v>
      </c>
      <c r="AG461" s="43">
        <f t="shared" si="66"/>
        <v>0</v>
      </c>
      <c r="AH461" s="43">
        <f>IFERROR(HLOOKUP(Esiehdot!$B$17,Käyttötapauskriteerit!G$1:P223,461,0),1)</f>
        <v>1</v>
      </c>
      <c r="AI461" s="43">
        <f t="shared" si="67"/>
        <v>0</v>
      </c>
      <c r="AJ461" s="43">
        <f t="shared" si="68"/>
        <v>0</v>
      </c>
      <c r="AK461" s="43">
        <f t="shared" si="69"/>
        <v>0</v>
      </c>
      <c r="AL461" s="43">
        <f t="shared" si="70"/>
        <v>0</v>
      </c>
      <c r="AM461" s="43"/>
      <c r="AN461" s="45" t="str">
        <f t="shared" si="71"/>
        <v/>
      </c>
    </row>
    <row r="462" spans="1:40" ht="15.6">
      <c r="A462" s="5"/>
      <c r="B462" s="5"/>
      <c r="E462" s="17"/>
      <c r="F462" s="17"/>
      <c r="G462" s="17"/>
      <c r="H462" s="17"/>
      <c r="I462" s="17"/>
      <c r="J462" s="17"/>
      <c r="K462" s="17"/>
      <c r="L462" s="32"/>
      <c r="M462" s="61"/>
      <c r="N462" s="23"/>
      <c r="O462" s="23"/>
      <c r="P462" s="9"/>
      <c r="Q462" s="9"/>
      <c r="R462" s="9"/>
      <c r="S462" s="9"/>
      <c r="U462" s="42" t="str">
        <f t="shared" si="63"/>
        <v>, L:, E:, S:, TS:</v>
      </c>
      <c r="V462" s="42" t="str">
        <f t="shared" si="64"/>
        <v/>
      </c>
      <c r="W462" s="43">
        <f>IFERROR(VLOOKUP(A462,Esiehdot!A$11:D$15,4,0), 0)</f>
        <v>0</v>
      </c>
      <c r="X462" s="44">
        <f>IF(Esiehdot!D$4&gt;=IFERROR(VLOOKUP(E462,Valintalistat!D$2:H$7,5,0), 99),1,0)</f>
        <v>0</v>
      </c>
      <c r="Y462" s="44">
        <f>IF(Esiehdot!D$5&gt;=IFERROR(VLOOKUP(F462,Valintalistat!E$2:H$5,4,0), 99),1,0)</f>
        <v>0</v>
      </c>
      <c r="Z462" s="44">
        <f>IF(Esiehdot!D$6&gt;=IFERROR(VLOOKUP(G462,Valintalistat!F$2:H$5,3,0),99),1,0)</f>
        <v>0</v>
      </c>
      <c r="AA462" s="44">
        <f>IF(Esiehdot!D$8&gt;=IFERROR(VLOOKUP(H462,Valintalistat!G$2:H$5,2,0),99),1,0)</f>
        <v>0</v>
      </c>
      <c r="AB462" s="43">
        <f t="shared" si="65"/>
        <v>0</v>
      </c>
      <c r="AC462" s="44">
        <f>IF(Esiehdot!E$4=IFERROR(VLOOKUP(E462,Valintalistat!D$2:H$7,5,0),99),1,0)</f>
        <v>0</v>
      </c>
      <c r="AD462" s="44">
        <f>IF(Esiehdot!E$5=IFERROR(VLOOKUP(F462,Valintalistat!E$2:H$5,4,0),99),1,0)</f>
        <v>0</v>
      </c>
      <c r="AE462" s="44">
        <f>IF(Esiehdot!E$6=IFERROR(VLOOKUP(G462,Valintalistat!F$2:H$5,3,0),99),1,0)</f>
        <v>0</v>
      </c>
      <c r="AF462" s="44">
        <f>IF(Esiehdot!E$8=IFERROR(VLOOKUP(H462,Valintalistat!G$2:H$3,2,0),98),1,0)</f>
        <v>0</v>
      </c>
      <c r="AG462" s="43">
        <f t="shared" si="66"/>
        <v>0</v>
      </c>
      <c r="AH462" s="43">
        <f>IFERROR(HLOOKUP(Esiehdot!$B$17,Käyttötapauskriteerit!G$1:P223,462,0),1)</f>
        <v>1</v>
      </c>
      <c r="AI462" s="43">
        <f t="shared" si="67"/>
        <v>0</v>
      </c>
      <c r="AJ462" s="43">
        <f t="shared" si="68"/>
        <v>0</v>
      </c>
      <c r="AK462" s="43">
        <f t="shared" si="69"/>
        <v>0</v>
      </c>
      <c r="AL462" s="43">
        <f t="shared" si="70"/>
        <v>0</v>
      </c>
      <c r="AM462" s="43"/>
      <c r="AN462" s="45" t="str">
        <f t="shared" si="71"/>
        <v/>
      </c>
    </row>
    <row r="463" spans="1:40" ht="15.6">
      <c r="A463" s="5"/>
      <c r="B463" s="5"/>
      <c r="E463" s="17"/>
      <c r="F463" s="17"/>
      <c r="G463" s="17"/>
      <c r="H463" s="17"/>
      <c r="I463" s="17"/>
      <c r="J463" s="17"/>
      <c r="K463" s="17"/>
      <c r="L463" s="32"/>
      <c r="M463" s="61"/>
      <c r="N463" s="23"/>
      <c r="O463" s="23"/>
      <c r="P463" s="9"/>
      <c r="Q463" s="9"/>
      <c r="R463" s="9"/>
      <c r="S463" s="9"/>
      <c r="U463" s="42" t="str">
        <f t="shared" si="63"/>
        <v>, L:, E:, S:, TS:</v>
      </c>
      <c r="V463" s="42" t="str">
        <f t="shared" si="64"/>
        <v/>
      </c>
      <c r="W463" s="43">
        <f>IFERROR(VLOOKUP(A463,Esiehdot!A$11:D$15,4,0), 0)</f>
        <v>0</v>
      </c>
      <c r="X463" s="44">
        <f>IF(Esiehdot!D$4&gt;=IFERROR(VLOOKUP(E463,Valintalistat!D$2:H$7,5,0), 99),1,0)</f>
        <v>0</v>
      </c>
      <c r="Y463" s="44">
        <f>IF(Esiehdot!D$5&gt;=IFERROR(VLOOKUP(F463,Valintalistat!E$2:H$5,4,0), 99),1,0)</f>
        <v>0</v>
      </c>
      <c r="Z463" s="44">
        <f>IF(Esiehdot!D$6&gt;=IFERROR(VLOOKUP(G463,Valintalistat!F$2:H$5,3,0),99),1,0)</f>
        <v>0</v>
      </c>
      <c r="AA463" s="44">
        <f>IF(Esiehdot!D$8&gt;=IFERROR(VLOOKUP(H463,Valintalistat!G$2:H$5,2,0),99),1,0)</f>
        <v>0</v>
      </c>
      <c r="AB463" s="43">
        <f t="shared" si="65"/>
        <v>0</v>
      </c>
      <c r="AC463" s="44">
        <f>IF(Esiehdot!E$4=IFERROR(VLOOKUP(E463,Valintalistat!D$2:H$7,5,0),99),1,0)</f>
        <v>0</v>
      </c>
      <c r="AD463" s="44">
        <f>IF(Esiehdot!E$5=IFERROR(VLOOKUP(F463,Valintalistat!E$2:H$5,4,0),99),1,0)</f>
        <v>0</v>
      </c>
      <c r="AE463" s="44">
        <f>IF(Esiehdot!E$6=IFERROR(VLOOKUP(G463,Valintalistat!F$2:H$5,3,0),99),1,0)</f>
        <v>0</v>
      </c>
      <c r="AF463" s="44">
        <f>IF(Esiehdot!E$8=IFERROR(VLOOKUP(H463,Valintalistat!G$2:H$3,2,0),98),1,0)</f>
        <v>0</v>
      </c>
      <c r="AG463" s="43">
        <f t="shared" si="66"/>
        <v>0</v>
      </c>
      <c r="AH463" s="43">
        <f>IFERROR(HLOOKUP(Esiehdot!$B$17,Käyttötapauskriteerit!G$1:P223,463,0),1)</f>
        <v>1</v>
      </c>
      <c r="AI463" s="43">
        <f t="shared" si="67"/>
        <v>0</v>
      </c>
      <c r="AJ463" s="43">
        <f t="shared" si="68"/>
        <v>0</v>
      </c>
      <c r="AK463" s="43">
        <f t="shared" si="69"/>
        <v>0</v>
      </c>
      <c r="AL463" s="43">
        <f t="shared" si="70"/>
        <v>0</v>
      </c>
      <c r="AM463" s="43"/>
      <c r="AN463" s="45" t="str">
        <f t="shared" si="71"/>
        <v/>
      </c>
    </row>
    <row r="464" spans="1:40" ht="15.6">
      <c r="A464" s="5"/>
      <c r="B464" s="5"/>
      <c r="E464" s="17"/>
      <c r="F464" s="17"/>
      <c r="G464" s="17"/>
      <c r="H464" s="17"/>
      <c r="I464" s="17"/>
      <c r="J464" s="17"/>
      <c r="K464" s="17"/>
      <c r="L464" s="32"/>
      <c r="M464" s="61"/>
      <c r="N464" s="23"/>
      <c r="O464" s="23"/>
      <c r="P464" s="9"/>
      <c r="Q464" s="9"/>
      <c r="R464" s="9"/>
      <c r="S464" s="9"/>
      <c r="U464" s="42" t="str">
        <f t="shared" si="63"/>
        <v>, L:, E:, S:, TS:</v>
      </c>
      <c r="V464" s="42" t="str">
        <f t="shared" si="64"/>
        <v/>
      </c>
      <c r="W464" s="43">
        <f>IFERROR(VLOOKUP(A464,Esiehdot!A$11:D$15,4,0), 0)</f>
        <v>0</v>
      </c>
      <c r="X464" s="44">
        <f>IF(Esiehdot!D$4&gt;=IFERROR(VLOOKUP(E464,Valintalistat!D$2:H$7,5,0), 99),1,0)</f>
        <v>0</v>
      </c>
      <c r="Y464" s="44">
        <f>IF(Esiehdot!D$5&gt;=IFERROR(VLOOKUP(F464,Valintalistat!E$2:H$5,4,0), 99),1,0)</f>
        <v>0</v>
      </c>
      <c r="Z464" s="44">
        <f>IF(Esiehdot!D$6&gt;=IFERROR(VLOOKUP(G464,Valintalistat!F$2:H$5,3,0),99),1,0)</f>
        <v>0</v>
      </c>
      <c r="AA464" s="44">
        <f>IF(Esiehdot!D$8&gt;=IFERROR(VLOOKUP(H464,Valintalistat!G$2:H$5,2,0),99),1,0)</f>
        <v>0</v>
      </c>
      <c r="AB464" s="43">
        <f t="shared" si="65"/>
        <v>0</v>
      </c>
      <c r="AC464" s="44">
        <f>IF(Esiehdot!E$4=IFERROR(VLOOKUP(E464,Valintalistat!D$2:H$7,5,0),99),1,0)</f>
        <v>0</v>
      </c>
      <c r="AD464" s="44">
        <f>IF(Esiehdot!E$5=IFERROR(VLOOKUP(F464,Valintalistat!E$2:H$5,4,0),99),1,0)</f>
        <v>0</v>
      </c>
      <c r="AE464" s="44">
        <f>IF(Esiehdot!E$6=IFERROR(VLOOKUP(G464,Valintalistat!F$2:H$5,3,0),99),1,0)</f>
        <v>0</v>
      </c>
      <c r="AF464" s="44">
        <f>IF(Esiehdot!E$8=IFERROR(VLOOKUP(H464,Valintalistat!G$2:H$3,2,0),98),1,0)</f>
        <v>0</v>
      </c>
      <c r="AG464" s="43">
        <f t="shared" si="66"/>
        <v>0</v>
      </c>
      <c r="AH464" s="43">
        <f>IFERROR(HLOOKUP(Esiehdot!$B$17,Käyttötapauskriteerit!G$1:P223,464,0),1)</f>
        <v>1</v>
      </c>
      <c r="AI464" s="43">
        <f t="shared" si="67"/>
        <v>0</v>
      </c>
      <c r="AJ464" s="43">
        <f t="shared" si="68"/>
        <v>0</v>
      </c>
      <c r="AK464" s="43">
        <f t="shared" si="69"/>
        <v>0</v>
      </c>
      <c r="AL464" s="43">
        <f t="shared" si="70"/>
        <v>0</v>
      </c>
      <c r="AM464" s="43"/>
      <c r="AN464" s="45" t="str">
        <f t="shared" si="71"/>
        <v/>
      </c>
    </row>
    <row r="465" spans="1:40" ht="15.6">
      <c r="A465" s="5"/>
      <c r="B465" s="5"/>
      <c r="E465" s="17"/>
      <c r="F465" s="17"/>
      <c r="G465" s="17"/>
      <c r="H465" s="17"/>
      <c r="I465" s="17"/>
      <c r="J465" s="17"/>
      <c r="K465" s="17"/>
      <c r="L465" s="32"/>
      <c r="M465" s="61"/>
      <c r="N465" s="23"/>
      <c r="O465" s="23"/>
      <c r="P465" s="9"/>
      <c r="Q465" s="9"/>
      <c r="R465" s="9"/>
      <c r="S465" s="9"/>
      <c r="U465" s="42" t="str">
        <f t="shared" si="63"/>
        <v>, L:, E:, S:, TS:</v>
      </c>
      <c r="V465" s="42" t="str">
        <f t="shared" si="64"/>
        <v/>
      </c>
      <c r="W465" s="43">
        <f>IFERROR(VLOOKUP(A465,Esiehdot!A$11:D$15,4,0), 0)</f>
        <v>0</v>
      </c>
      <c r="X465" s="44">
        <f>IF(Esiehdot!D$4&gt;=IFERROR(VLOOKUP(E465,Valintalistat!D$2:H$7,5,0), 99),1,0)</f>
        <v>0</v>
      </c>
      <c r="Y465" s="44">
        <f>IF(Esiehdot!D$5&gt;=IFERROR(VLOOKUP(F465,Valintalistat!E$2:H$5,4,0), 99),1,0)</f>
        <v>0</v>
      </c>
      <c r="Z465" s="44">
        <f>IF(Esiehdot!D$6&gt;=IFERROR(VLOOKUP(G465,Valintalistat!F$2:H$5,3,0),99),1,0)</f>
        <v>0</v>
      </c>
      <c r="AA465" s="44">
        <f>IF(Esiehdot!D$8&gt;=IFERROR(VLOOKUP(H465,Valintalistat!G$2:H$5,2,0),99),1,0)</f>
        <v>0</v>
      </c>
      <c r="AB465" s="43">
        <f t="shared" si="65"/>
        <v>0</v>
      </c>
      <c r="AC465" s="44">
        <f>IF(Esiehdot!E$4=IFERROR(VLOOKUP(E465,Valintalistat!D$2:H$7,5,0),99),1,0)</f>
        <v>0</v>
      </c>
      <c r="AD465" s="44">
        <f>IF(Esiehdot!E$5=IFERROR(VLOOKUP(F465,Valintalistat!E$2:H$5,4,0),99),1,0)</f>
        <v>0</v>
      </c>
      <c r="AE465" s="44">
        <f>IF(Esiehdot!E$6=IFERROR(VLOOKUP(G465,Valintalistat!F$2:H$5,3,0),99),1,0)</f>
        <v>0</v>
      </c>
      <c r="AF465" s="44">
        <f>IF(Esiehdot!E$8=IFERROR(VLOOKUP(H465,Valintalistat!G$2:H$3,2,0),98),1,0)</f>
        <v>0</v>
      </c>
      <c r="AG465" s="43">
        <f t="shared" si="66"/>
        <v>0</v>
      </c>
      <c r="AH465" s="43">
        <f>IFERROR(HLOOKUP(Esiehdot!$B$17,Käyttötapauskriteerit!G$1:P223,465,0),1)</f>
        <v>1</v>
      </c>
      <c r="AI465" s="43">
        <f t="shared" si="67"/>
        <v>0</v>
      </c>
      <c r="AJ465" s="43">
        <f t="shared" si="68"/>
        <v>0</v>
      </c>
      <c r="AK465" s="43">
        <f t="shared" si="69"/>
        <v>0</v>
      </c>
      <c r="AL465" s="43">
        <f t="shared" si="70"/>
        <v>0</v>
      </c>
      <c r="AM465" s="43"/>
      <c r="AN465" s="45" t="str">
        <f t="shared" si="71"/>
        <v/>
      </c>
    </row>
    <row r="466" spans="1:40" ht="15.6">
      <c r="A466" s="5"/>
      <c r="B466" s="5"/>
      <c r="E466" s="17"/>
      <c r="F466" s="17"/>
      <c r="G466" s="17"/>
      <c r="H466" s="17"/>
      <c r="I466" s="17"/>
      <c r="J466" s="17"/>
      <c r="K466" s="17"/>
      <c r="L466" s="32"/>
      <c r="M466" s="61"/>
      <c r="N466" s="23"/>
      <c r="O466" s="23"/>
      <c r="P466" s="9"/>
      <c r="Q466" s="9"/>
      <c r="R466" s="9"/>
      <c r="S466" s="9"/>
      <c r="U466" s="42" t="str">
        <f t="shared" si="63"/>
        <v>, L:, E:, S:, TS:</v>
      </c>
      <c r="V466" s="42" t="str">
        <f t="shared" si="64"/>
        <v/>
      </c>
      <c r="W466" s="43">
        <f>IFERROR(VLOOKUP(A466,Esiehdot!A$11:D$15,4,0), 0)</f>
        <v>0</v>
      </c>
      <c r="X466" s="44">
        <f>IF(Esiehdot!D$4&gt;=IFERROR(VLOOKUP(E466,Valintalistat!D$2:H$7,5,0), 99),1,0)</f>
        <v>0</v>
      </c>
      <c r="Y466" s="44">
        <f>IF(Esiehdot!D$5&gt;=IFERROR(VLOOKUP(F466,Valintalistat!E$2:H$5,4,0), 99),1,0)</f>
        <v>0</v>
      </c>
      <c r="Z466" s="44">
        <f>IF(Esiehdot!D$6&gt;=IFERROR(VLOOKUP(G466,Valintalistat!F$2:H$5,3,0),99),1,0)</f>
        <v>0</v>
      </c>
      <c r="AA466" s="44">
        <f>IF(Esiehdot!D$8&gt;=IFERROR(VLOOKUP(H466,Valintalistat!G$2:H$5,2,0),99),1,0)</f>
        <v>0</v>
      </c>
      <c r="AB466" s="43">
        <f t="shared" si="65"/>
        <v>0</v>
      </c>
      <c r="AC466" s="44">
        <f>IF(Esiehdot!E$4=IFERROR(VLOOKUP(E466,Valintalistat!D$2:H$7,5,0),99),1,0)</f>
        <v>0</v>
      </c>
      <c r="AD466" s="44">
        <f>IF(Esiehdot!E$5=IFERROR(VLOOKUP(F466,Valintalistat!E$2:H$5,4,0),99),1,0)</f>
        <v>0</v>
      </c>
      <c r="AE466" s="44">
        <f>IF(Esiehdot!E$6=IFERROR(VLOOKUP(G466,Valintalistat!F$2:H$5,3,0),99),1,0)</f>
        <v>0</v>
      </c>
      <c r="AF466" s="44">
        <f>IF(Esiehdot!E$8=IFERROR(VLOOKUP(H466,Valintalistat!G$2:H$3,2,0),98),1,0)</f>
        <v>0</v>
      </c>
      <c r="AG466" s="43">
        <f t="shared" si="66"/>
        <v>0</v>
      </c>
      <c r="AH466" s="43">
        <f>IFERROR(HLOOKUP(Esiehdot!$B$17,Käyttötapauskriteerit!G$1:P223,466,0),1)</f>
        <v>1</v>
      </c>
      <c r="AI466" s="43">
        <f t="shared" si="67"/>
        <v>0</v>
      </c>
      <c r="AJ466" s="43">
        <f t="shared" si="68"/>
        <v>0</v>
      </c>
      <c r="AK466" s="43">
        <f t="shared" si="69"/>
        <v>0</v>
      </c>
      <c r="AL466" s="43">
        <f t="shared" si="70"/>
        <v>0</v>
      </c>
      <c r="AM466" s="43"/>
      <c r="AN466" s="45" t="str">
        <f t="shared" si="71"/>
        <v/>
      </c>
    </row>
    <row r="467" spans="1:40" ht="15.6">
      <c r="A467" s="5"/>
      <c r="B467" s="5"/>
      <c r="E467" s="17"/>
      <c r="F467" s="17"/>
      <c r="G467" s="17"/>
      <c r="H467" s="17"/>
      <c r="I467" s="17"/>
      <c r="J467" s="17"/>
      <c r="K467" s="17"/>
      <c r="L467" s="32"/>
      <c r="M467" s="61"/>
      <c r="N467" s="23"/>
      <c r="O467" s="23"/>
      <c r="P467" s="9"/>
      <c r="Q467" s="9"/>
      <c r="R467" s="9"/>
      <c r="S467" s="9"/>
      <c r="U467" s="42" t="str">
        <f t="shared" si="63"/>
        <v>, L:, E:, S:, TS:</v>
      </c>
      <c r="V467" s="42" t="str">
        <f t="shared" si="64"/>
        <v/>
      </c>
      <c r="W467" s="43">
        <f>IFERROR(VLOOKUP(A467,Esiehdot!A$11:D$15,4,0), 0)</f>
        <v>0</v>
      </c>
      <c r="X467" s="44">
        <f>IF(Esiehdot!D$4&gt;=IFERROR(VLOOKUP(E467,Valintalistat!D$2:H$7,5,0), 99),1,0)</f>
        <v>0</v>
      </c>
      <c r="Y467" s="44">
        <f>IF(Esiehdot!D$5&gt;=IFERROR(VLOOKUP(F467,Valintalistat!E$2:H$5,4,0), 99),1,0)</f>
        <v>0</v>
      </c>
      <c r="Z467" s="44">
        <f>IF(Esiehdot!D$6&gt;=IFERROR(VLOOKUP(G467,Valintalistat!F$2:H$5,3,0),99),1,0)</f>
        <v>0</v>
      </c>
      <c r="AA467" s="44">
        <f>IF(Esiehdot!D$8&gt;=IFERROR(VLOOKUP(H467,Valintalistat!G$2:H$5,2,0),99),1,0)</f>
        <v>0</v>
      </c>
      <c r="AB467" s="43">
        <f t="shared" si="65"/>
        <v>0</v>
      </c>
      <c r="AC467" s="44">
        <f>IF(Esiehdot!E$4=IFERROR(VLOOKUP(E467,Valintalistat!D$2:H$7,5,0),99),1,0)</f>
        <v>0</v>
      </c>
      <c r="AD467" s="44">
        <f>IF(Esiehdot!E$5=IFERROR(VLOOKUP(F467,Valintalistat!E$2:H$5,4,0),99),1,0)</f>
        <v>0</v>
      </c>
      <c r="AE467" s="44">
        <f>IF(Esiehdot!E$6=IFERROR(VLOOKUP(G467,Valintalistat!F$2:H$5,3,0),99),1,0)</f>
        <v>0</v>
      </c>
      <c r="AF467" s="44">
        <f>IF(Esiehdot!E$8=IFERROR(VLOOKUP(H467,Valintalistat!G$2:H$3,2,0),98),1,0)</f>
        <v>0</v>
      </c>
      <c r="AG467" s="43">
        <f t="shared" si="66"/>
        <v>0</v>
      </c>
      <c r="AH467" s="43">
        <f>IFERROR(HLOOKUP(Esiehdot!$B$17,Käyttötapauskriteerit!G$1:P223,467,0),1)</f>
        <v>1</v>
      </c>
      <c r="AI467" s="43">
        <f t="shared" si="67"/>
        <v>0</v>
      </c>
      <c r="AJ467" s="43">
        <f t="shared" si="68"/>
        <v>0</v>
      </c>
      <c r="AK467" s="43">
        <f t="shared" si="69"/>
        <v>0</v>
      </c>
      <c r="AL467" s="43">
        <f t="shared" si="70"/>
        <v>0</v>
      </c>
      <c r="AM467" s="43"/>
      <c r="AN467" s="45" t="str">
        <f t="shared" si="71"/>
        <v/>
      </c>
    </row>
    <row r="468" spans="1:40" ht="15.6">
      <c r="A468" s="5"/>
      <c r="B468" s="5"/>
      <c r="E468" s="17"/>
      <c r="F468" s="17"/>
      <c r="G468" s="17"/>
      <c r="H468" s="17"/>
      <c r="I468" s="17"/>
      <c r="J468" s="17"/>
      <c r="K468" s="17"/>
      <c r="L468" s="32"/>
      <c r="M468" s="61"/>
      <c r="N468" s="23"/>
      <c r="O468" s="23"/>
      <c r="P468" s="9"/>
      <c r="Q468" s="9"/>
      <c r="R468" s="9"/>
      <c r="S468" s="9"/>
      <c r="U468" s="42" t="str">
        <f t="shared" si="63"/>
        <v>, L:, E:, S:, TS:</v>
      </c>
      <c r="V468" s="42" t="str">
        <f t="shared" si="64"/>
        <v/>
      </c>
      <c r="W468" s="43">
        <f>IFERROR(VLOOKUP(A468,Esiehdot!A$11:D$15,4,0), 0)</f>
        <v>0</v>
      </c>
      <c r="X468" s="44">
        <f>IF(Esiehdot!D$4&gt;=IFERROR(VLOOKUP(E468,Valintalistat!D$2:H$7,5,0), 99),1,0)</f>
        <v>0</v>
      </c>
      <c r="Y468" s="44">
        <f>IF(Esiehdot!D$5&gt;=IFERROR(VLOOKUP(F468,Valintalistat!E$2:H$5,4,0), 99),1,0)</f>
        <v>0</v>
      </c>
      <c r="Z468" s="44">
        <f>IF(Esiehdot!D$6&gt;=IFERROR(VLOOKUP(G468,Valintalistat!F$2:H$5,3,0),99),1,0)</f>
        <v>0</v>
      </c>
      <c r="AA468" s="44">
        <f>IF(Esiehdot!D$8&gt;=IFERROR(VLOOKUP(H468,Valintalistat!G$2:H$5,2,0),99),1,0)</f>
        <v>0</v>
      </c>
      <c r="AB468" s="43">
        <f t="shared" si="65"/>
        <v>0</v>
      </c>
      <c r="AC468" s="44">
        <f>IF(Esiehdot!E$4=IFERROR(VLOOKUP(E468,Valintalistat!D$2:H$7,5,0),99),1,0)</f>
        <v>0</v>
      </c>
      <c r="AD468" s="44">
        <f>IF(Esiehdot!E$5=IFERROR(VLOOKUP(F468,Valintalistat!E$2:H$5,4,0),99),1,0)</f>
        <v>0</v>
      </c>
      <c r="AE468" s="44">
        <f>IF(Esiehdot!E$6=IFERROR(VLOOKUP(G468,Valintalistat!F$2:H$5,3,0),99),1,0)</f>
        <v>0</v>
      </c>
      <c r="AF468" s="44">
        <f>IF(Esiehdot!E$8=IFERROR(VLOOKUP(H468,Valintalistat!G$2:H$3,2,0),98),1,0)</f>
        <v>0</v>
      </c>
      <c r="AG468" s="43">
        <f t="shared" si="66"/>
        <v>0</v>
      </c>
      <c r="AH468" s="43">
        <f>IFERROR(HLOOKUP(Esiehdot!$B$17,Käyttötapauskriteerit!G$1:P223,468,0),1)</f>
        <v>1</v>
      </c>
      <c r="AI468" s="43">
        <f t="shared" si="67"/>
        <v>0</v>
      </c>
      <c r="AJ468" s="43">
        <f t="shared" si="68"/>
        <v>0</v>
      </c>
      <c r="AK468" s="43">
        <f t="shared" si="69"/>
        <v>0</v>
      </c>
      <c r="AL468" s="43">
        <f t="shared" si="70"/>
        <v>0</v>
      </c>
      <c r="AM468" s="43"/>
      <c r="AN468" s="45" t="str">
        <f t="shared" si="71"/>
        <v/>
      </c>
    </row>
    <row r="469" spans="1:40" ht="15.6">
      <c r="A469" s="5"/>
      <c r="B469" s="5"/>
      <c r="E469" s="17"/>
      <c r="F469" s="17"/>
      <c r="G469" s="17"/>
      <c r="H469" s="17"/>
      <c r="I469" s="17"/>
      <c r="J469" s="17"/>
      <c r="K469" s="17"/>
      <c r="L469" s="32"/>
      <c r="M469" s="61"/>
      <c r="N469" s="23"/>
      <c r="O469" s="23"/>
      <c r="P469" s="9"/>
      <c r="Q469" s="9"/>
      <c r="R469" s="9"/>
      <c r="S469" s="9"/>
      <c r="U469" s="42" t="str">
        <f t="shared" si="63"/>
        <v>, L:, E:, S:, TS:</v>
      </c>
      <c r="V469" s="42" t="str">
        <f t="shared" si="64"/>
        <v/>
      </c>
      <c r="W469" s="43">
        <f>IFERROR(VLOOKUP(A469,Esiehdot!A$11:D$15,4,0), 0)</f>
        <v>0</v>
      </c>
      <c r="X469" s="44">
        <f>IF(Esiehdot!D$4&gt;=IFERROR(VLOOKUP(E469,Valintalistat!D$2:H$7,5,0), 99),1,0)</f>
        <v>0</v>
      </c>
      <c r="Y469" s="44">
        <f>IF(Esiehdot!D$5&gt;=IFERROR(VLOOKUP(F469,Valintalistat!E$2:H$5,4,0), 99),1,0)</f>
        <v>0</v>
      </c>
      <c r="Z469" s="44">
        <f>IF(Esiehdot!D$6&gt;=IFERROR(VLOOKUP(G469,Valintalistat!F$2:H$5,3,0),99),1,0)</f>
        <v>0</v>
      </c>
      <c r="AA469" s="44">
        <f>IF(Esiehdot!D$8&gt;=IFERROR(VLOOKUP(H469,Valintalistat!G$2:H$5,2,0),99),1,0)</f>
        <v>0</v>
      </c>
      <c r="AB469" s="43">
        <f t="shared" si="65"/>
        <v>0</v>
      </c>
      <c r="AC469" s="44">
        <f>IF(Esiehdot!E$4=IFERROR(VLOOKUP(E469,Valintalistat!D$2:H$7,5,0),99),1,0)</f>
        <v>0</v>
      </c>
      <c r="AD469" s="44">
        <f>IF(Esiehdot!E$5=IFERROR(VLOOKUP(F469,Valintalistat!E$2:H$5,4,0),99),1,0)</f>
        <v>0</v>
      </c>
      <c r="AE469" s="44">
        <f>IF(Esiehdot!E$6=IFERROR(VLOOKUP(G469,Valintalistat!F$2:H$5,3,0),99),1,0)</f>
        <v>0</v>
      </c>
      <c r="AF469" s="44">
        <f>IF(Esiehdot!E$8=IFERROR(VLOOKUP(H469,Valintalistat!G$2:H$3,2,0),98),1,0)</f>
        <v>0</v>
      </c>
      <c r="AG469" s="43">
        <f t="shared" si="66"/>
        <v>0</v>
      </c>
      <c r="AH469" s="43">
        <f>IFERROR(HLOOKUP(Esiehdot!$B$17,Käyttötapauskriteerit!G$1:P223,469,0),1)</f>
        <v>1</v>
      </c>
      <c r="AI469" s="43">
        <f t="shared" si="67"/>
        <v>0</v>
      </c>
      <c r="AJ469" s="43">
        <f t="shared" si="68"/>
        <v>0</v>
      </c>
      <c r="AK469" s="43">
        <f t="shared" si="69"/>
        <v>0</v>
      </c>
      <c r="AL469" s="43">
        <f t="shared" si="70"/>
        <v>0</v>
      </c>
      <c r="AM469" s="43"/>
      <c r="AN469" s="45" t="str">
        <f t="shared" si="71"/>
        <v/>
      </c>
    </row>
    <row r="470" spans="1:40" ht="15.6">
      <c r="A470" s="5"/>
      <c r="B470" s="5"/>
      <c r="E470" s="17"/>
      <c r="F470" s="17"/>
      <c r="G470" s="17"/>
      <c r="H470" s="17"/>
      <c r="I470" s="17"/>
      <c r="J470" s="17"/>
      <c r="K470" s="17"/>
      <c r="L470" s="32"/>
      <c r="M470" s="61"/>
      <c r="N470" s="23"/>
      <c r="O470" s="23"/>
      <c r="P470" s="9"/>
      <c r="Q470" s="9"/>
      <c r="R470" s="9"/>
      <c r="S470" s="9"/>
      <c r="U470" s="42" t="str">
        <f t="shared" si="63"/>
        <v>, L:, E:, S:, TS:</v>
      </c>
      <c r="V470" s="42" t="str">
        <f t="shared" si="64"/>
        <v/>
      </c>
      <c r="W470" s="43">
        <f>IFERROR(VLOOKUP(A470,Esiehdot!A$11:D$15,4,0), 0)</f>
        <v>0</v>
      </c>
      <c r="X470" s="44">
        <f>IF(Esiehdot!D$4&gt;=IFERROR(VLOOKUP(E470,Valintalistat!D$2:H$7,5,0), 99),1,0)</f>
        <v>0</v>
      </c>
      <c r="Y470" s="44">
        <f>IF(Esiehdot!D$5&gt;=IFERROR(VLOOKUP(F470,Valintalistat!E$2:H$5,4,0), 99),1,0)</f>
        <v>0</v>
      </c>
      <c r="Z470" s="44">
        <f>IF(Esiehdot!D$6&gt;=IFERROR(VLOOKUP(G470,Valintalistat!F$2:H$5,3,0),99),1,0)</f>
        <v>0</v>
      </c>
      <c r="AA470" s="44">
        <f>IF(Esiehdot!D$8&gt;=IFERROR(VLOOKUP(H470,Valintalistat!G$2:H$5,2,0),99),1,0)</f>
        <v>0</v>
      </c>
      <c r="AB470" s="43">
        <f t="shared" si="65"/>
        <v>0</v>
      </c>
      <c r="AC470" s="44">
        <f>IF(Esiehdot!E$4=IFERROR(VLOOKUP(E470,Valintalistat!D$2:H$7,5,0),99),1,0)</f>
        <v>0</v>
      </c>
      <c r="AD470" s="44">
        <f>IF(Esiehdot!E$5=IFERROR(VLOOKUP(F470,Valintalistat!E$2:H$5,4,0),99),1,0)</f>
        <v>0</v>
      </c>
      <c r="AE470" s="44">
        <f>IF(Esiehdot!E$6=IFERROR(VLOOKUP(G470,Valintalistat!F$2:H$5,3,0),99),1,0)</f>
        <v>0</v>
      </c>
      <c r="AF470" s="44">
        <f>IF(Esiehdot!E$8=IFERROR(VLOOKUP(H470,Valintalistat!G$2:H$3,2,0),98),1,0)</f>
        <v>0</v>
      </c>
      <c r="AG470" s="43">
        <f t="shared" si="66"/>
        <v>0</v>
      </c>
      <c r="AH470" s="43">
        <f>IFERROR(HLOOKUP(Esiehdot!$B$17,Käyttötapauskriteerit!G$1:P223,470,0),1)</f>
        <v>1</v>
      </c>
      <c r="AI470" s="43">
        <f t="shared" si="67"/>
        <v>0</v>
      </c>
      <c r="AJ470" s="43">
        <f t="shared" si="68"/>
        <v>0</v>
      </c>
      <c r="AK470" s="43">
        <f t="shared" si="69"/>
        <v>0</v>
      </c>
      <c r="AL470" s="43">
        <f t="shared" si="70"/>
        <v>0</v>
      </c>
      <c r="AM470" s="43"/>
      <c r="AN470" s="45" t="str">
        <f t="shared" si="71"/>
        <v/>
      </c>
    </row>
    <row r="471" spans="1:40" ht="15.6">
      <c r="A471" s="5"/>
      <c r="B471" s="5"/>
      <c r="E471" s="17"/>
      <c r="F471" s="17"/>
      <c r="G471" s="17"/>
      <c r="H471" s="17"/>
      <c r="I471" s="17"/>
      <c r="J471" s="17"/>
      <c r="K471" s="17"/>
      <c r="L471" s="32"/>
      <c r="M471" s="61"/>
      <c r="N471" s="23"/>
      <c r="O471" s="23"/>
      <c r="P471" s="9"/>
      <c r="Q471" s="9"/>
      <c r="R471" s="9"/>
      <c r="S471" s="9"/>
      <c r="U471" s="42" t="str">
        <f t="shared" si="63"/>
        <v>, L:, E:, S:, TS:</v>
      </c>
      <c r="V471" s="42" t="str">
        <f t="shared" si="64"/>
        <v/>
      </c>
      <c r="W471" s="43">
        <f>IFERROR(VLOOKUP(A471,Esiehdot!A$11:D$15,4,0), 0)</f>
        <v>0</v>
      </c>
      <c r="X471" s="44">
        <f>IF(Esiehdot!D$4&gt;=IFERROR(VLOOKUP(E471,Valintalistat!D$2:H$7,5,0), 99),1,0)</f>
        <v>0</v>
      </c>
      <c r="Y471" s="44">
        <f>IF(Esiehdot!D$5&gt;=IFERROR(VLOOKUP(F471,Valintalistat!E$2:H$5,4,0), 99),1,0)</f>
        <v>0</v>
      </c>
      <c r="Z471" s="44">
        <f>IF(Esiehdot!D$6&gt;=IFERROR(VLOOKUP(G471,Valintalistat!F$2:H$5,3,0),99),1,0)</f>
        <v>0</v>
      </c>
      <c r="AA471" s="44">
        <f>IF(Esiehdot!D$8&gt;=IFERROR(VLOOKUP(H471,Valintalistat!G$2:H$5,2,0),99),1,0)</f>
        <v>0</v>
      </c>
      <c r="AB471" s="43">
        <f t="shared" si="65"/>
        <v>0</v>
      </c>
      <c r="AC471" s="44">
        <f>IF(Esiehdot!E$4=IFERROR(VLOOKUP(E471,Valintalistat!D$2:H$7,5,0),99),1,0)</f>
        <v>0</v>
      </c>
      <c r="AD471" s="44">
        <f>IF(Esiehdot!E$5=IFERROR(VLOOKUP(F471,Valintalistat!E$2:H$5,4,0),99),1,0)</f>
        <v>0</v>
      </c>
      <c r="AE471" s="44">
        <f>IF(Esiehdot!E$6=IFERROR(VLOOKUP(G471,Valintalistat!F$2:H$5,3,0),99),1,0)</f>
        <v>0</v>
      </c>
      <c r="AF471" s="44">
        <f>IF(Esiehdot!E$8=IFERROR(VLOOKUP(H471,Valintalistat!G$2:H$3,2,0),98),1,0)</f>
        <v>0</v>
      </c>
      <c r="AG471" s="43">
        <f t="shared" si="66"/>
        <v>0</v>
      </c>
      <c r="AH471" s="43">
        <f>IFERROR(HLOOKUP(Esiehdot!$B$17,Käyttötapauskriteerit!G$1:P223,471,0),1)</f>
        <v>1</v>
      </c>
      <c r="AI471" s="43">
        <f t="shared" si="67"/>
        <v>0</v>
      </c>
      <c r="AJ471" s="43">
        <f t="shared" si="68"/>
        <v>0</v>
      </c>
      <c r="AK471" s="43">
        <f t="shared" si="69"/>
        <v>0</v>
      </c>
      <c r="AL471" s="43">
        <f t="shared" si="70"/>
        <v>0</v>
      </c>
      <c r="AM471" s="43"/>
      <c r="AN471" s="45" t="str">
        <f t="shared" si="71"/>
        <v/>
      </c>
    </row>
    <row r="472" spans="1:40" ht="15.6">
      <c r="A472" s="5"/>
      <c r="B472" s="5"/>
      <c r="E472" s="17"/>
      <c r="F472" s="17"/>
      <c r="G472" s="17"/>
      <c r="H472" s="17"/>
      <c r="I472" s="17"/>
      <c r="J472" s="17"/>
      <c r="K472" s="17"/>
      <c r="L472" s="32"/>
      <c r="M472" s="61"/>
      <c r="N472" s="23"/>
      <c r="O472" s="23"/>
      <c r="P472" s="9"/>
      <c r="Q472" s="9"/>
      <c r="R472" s="9"/>
      <c r="S472" s="9"/>
      <c r="U472" s="42" t="str">
        <f t="shared" si="63"/>
        <v>, L:, E:, S:, TS:</v>
      </c>
      <c r="V472" s="42" t="str">
        <f t="shared" si="64"/>
        <v/>
      </c>
      <c r="W472" s="43">
        <f>IFERROR(VLOOKUP(A472,Esiehdot!A$11:D$15,4,0), 0)</f>
        <v>0</v>
      </c>
      <c r="X472" s="44">
        <f>IF(Esiehdot!D$4&gt;=IFERROR(VLOOKUP(E472,Valintalistat!D$2:H$7,5,0), 99),1,0)</f>
        <v>0</v>
      </c>
      <c r="Y472" s="44">
        <f>IF(Esiehdot!D$5&gt;=IFERROR(VLOOKUP(F472,Valintalistat!E$2:H$5,4,0), 99),1,0)</f>
        <v>0</v>
      </c>
      <c r="Z472" s="44">
        <f>IF(Esiehdot!D$6&gt;=IFERROR(VLOOKUP(G472,Valintalistat!F$2:H$5,3,0),99),1,0)</f>
        <v>0</v>
      </c>
      <c r="AA472" s="44">
        <f>IF(Esiehdot!D$8&gt;=IFERROR(VLOOKUP(H472,Valintalistat!G$2:H$5,2,0),99),1,0)</f>
        <v>0</v>
      </c>
      <c r="AB472" s="43">
        <f t="shared" si="65"/>
        <v>0</v>
      </c>
      <c r="AC472" s="44">
        <f>IF(Esiehdot!E$4=IFERROR(VLOOKUP(E472,Valintalistat!D$2:H$7,5,0),99),1,0)</f>
        <v>0</v>
      </c>
      <c r="AD472" s="44">
        <f>IF(Esiehdot!E$5=IFERROR(VLOOKUP(F472,Valintalistat!E$2:H$5,4,0),99),1,0)</f>
        <v>0</v>
      </c>
      <c r="AE472" s="44">
        <f>IF(Esiehdot!E$6=IFERROR(VLOOKUP(G472,Valintalistat!F$2:H$5,3,0),99),1,0)</f>
        <v>0</v>
      </c>
      <c r="AF472" s="44">
        <f>IF(Esiehdot!E$8=IFERROR(VLOOKUP(H472,Valintalistat!G$2:H$3,2,0),98),1,0)</f>
        <v>0</v>
      </c>
      <c r="AG472" s="43">
        <f t="shared" si="66"/>
        <v>0</v>
      </c>
      <c r="AH472" s="43">
        <f>IFERROR(HLOOKUP(Esiehdot!$B$17,Käyttötapauskriteerit!G$1:P223,472,0),1)</f>
        <v>1</v>
      </c>
      <c r="AI472" s="43">
        <f t="shared" si="67"/>
        <v>0</v>
      </c>
      <c r="AJ472" s="43">
        <f t="shared" si="68"/>
        <v>0</v>
      </c>
      <c r="AK472" s="43">
        <f t="shared" si="69"/>
        <v>0</v>
      </c>
      <c r="AL472" s="43">
        <f t="shared" si="70"/>
        <v>0</v>
      </c>
      <c r="AM472" s="43"/>
      <c r="AN472" s="45" t="str">
        <f t="shared" si="71"/>
        <v/>
      </c>
    </row>
    <row r="473" spans="1:40" ht="15.6">
      <c r="A473" s="5"/>
      <c r="B473" s="5"/>
      <c r="E473" s="17"/>
      <c r="F473" s="17"/>
      <c r="G473" s="17"/>
      <c r="H473" s="17"/>
      <c r="I473" s="17"/>
      <c r="J473" s="17"/>
      <c r="K473" s="17"/>
      <c r="L473" s="32"/>
      <c r="M473" s="61"/>
      <c r="N473" s="23"/>
      <c r="O473" s="23"/>
      <c r="P473" s="9"/>
      <c r="Q473" s="9"/>
      <c r="R473" s="9"/>
      <c r="S473" s="9"/>
      <c r="U473" s="42" t="str">
        <f t="shared" si="63"/>
        <v>, L:, E:, S:, TS:</v>
      </c>
      <c r="V473" s="42" t="str">
        <f t="shared" si="64"/>
        <v/>
      </c>
      <c r="W473" s="43">
        <f>IFERROR(VLOOKUP(A473,Esiehdot!A$11:D$15,4,0), 0)</f>
        <v>0</v>
      </c>
      <c r="X473" s="44">
        <f>IF(Esiehdot!D$4&gt;=IFERROR(VLOOKUP(E473,Valintalistat!D$2:H$7,5,0), 99),1,0)</f>
        <v>0</v>
      </c>
      <c r="Y473" s="44">
        <f>IF(Esiehdot!D$5&gt;=IFERROR(VLOOKUP(F473,Valintalistat!E$2:H$5,4,0), 99),1,0)</f>
        <v>0</v>
      </c>
      <c r="Z473" s="44">
        <f>IF(Esiehdot!D$6&gt;=IFERROR(VLOOKUP(G473,Valintalistat!F$2:H$5,3,0),99),1,0)</f>
        <v>0</v>
      </c>
      <c r="AA473" s="44">
        <f>IF(Esiehdot!D$8&gt;=IFERROR(VLOOKUP(H473,Valintalistat!G$2:H$5,2,0),99),1,0)</f>
        <v>0</v>
      </c>
      <c r="AB473" s="43">
        <f t="shared" si="65"/>
        <v>0</v>
      </c>
      <c r="AC473" s="44">
        <f>IF(Esiehdot!E$4=IFERROR(VLOOKUP(E473,Valintalistat!D$2:H$7,5,0),99),1,0)</f>
        <v>0</v>
      </c>
      <c r="AD473" s="44">
        <f>IF(Esiehdot!E$5=IFERROR(VLOOKUP(F473,Valintalistat!E$2:H$5,4,0),99),1,0)</f>
        <v>0</v>
      </c>
      <c r="AE473" s="44">
        <f>IF(Esiehdot!E$6=IFERROR(VLOOKUP(G473,Valintalistat!F$2:H$5,3,0),99),1,0)</f>
        <v>0</v>
      </c>
      <c r="AF473" s="44">
        <f>IF(Esiehdot!E$8=IFERROR(VLOOKUP(H473,Valintalistat!G$2:H$3,2,0),98),1,0)</f>
        <v>0</v>
      </c>
      <c r="AG473" s="43">
        <f t="shared" si="66"/>
        <v>0</v>
      </c>
      <c r="AH473" s="43">
        <f>IFERROR(HLOOKUP(Esiehdot!$B$17,Käyttötapauskriteerit!G$1:P223,473,0),1)</f>
        <v>1</v>
      </c>
      <c r="AI473" s="43">
        <f t="shared" si="67"/>
        <v>0</v>
      </c>
      <c r="AJ473" s="43">
        <f t="shared" si="68"/>
        <v>0</v>
      </c>
      <c r="AK473" s="43">
        <f t="shared" si="69"/>
        <v>0</v>
      </c>
      <c r="AL473" s="43">
        <f t="shared" si="70"/>
        <v>0</v>
      </c>
      <c r="AM473" s="43"/>
      <c r="AN473" s="45" t="str">
        <f t="shared" si="71"/>
        <v/>
      </c>
    </row>
    <row r="474" spans="1:40" ht="15.6">
      <c r="A474" s="5"/>
      <c r="B474" s="5"/>
      <c r="E474" s="17"/>
      <c r="F474" s="17"/>
      <c r="G474" s="17"/>
      <c r="H474" s="17"/>
      <c r="I474" s="17"/>
      <c r="J474" s="17"/>
      <c r="K474" s="17"/>
      <c r="L474" s="32"/>
      <c r="M474" s="61"/>
      <c r="N474" s="23"/>
      <c r="O474" s="23"/>
      <c r="P474" s="9"/>
      <c r="Q474" s="9"/>
      <c r="R474" s="9"/>
      <c r="S474" s="9"/>
      <c r="U474" s="42" t="str">
        <f t="shared" si="63"/>
        <v>, L:, E:, S:, TS:</v>
      </c>
      <c r="V474" s="42" t="str">
        <f t="shared" si="64"/>
        <v/>
      </c>
      <c r="W474" s="43">
        <f>IFERROR(VLOOKUP(A474,Esiehdot!A$11:D$15,4,0), 0)</f>
        <v>0</v>
      </c>
      <c r="X474" s="44">
        <f>IF(Esiehdot!D$4&gt;=IFERROR(VLOOKUP(E474,Valintalistat!D$2:H$7,5,0), 99),1,0)</f>
        <v>0</v>
      </c>
      <c r="Y474" s="44">
        <f>IF(Esiehdot!D$5&gt;=IFERROR(VLOOKUP(F474,Valintalistat!E$2:H$5,4,0), 99),1,0)</f>
        <v>0</v>
      </c>
      <c r="Z474" s="44">
        <f>IF(Esiehdot!D$6&gt;=IFERROR(VLOOKUP(G474,Valintalistat!F$2:H$5,3,0),99),1,0)</f>
        <v>0</v>
      </c>
      <c r="AA474" s="44">
        <f>IF(Esiehdot!D$8&gt;=IFERROR(VLOOKUP(H474,Valintalistat!G$2:H$5,2,0),99),1,0)</f>
        <v>0</v>
      </c>
      <c r="AB474" s="43">
        <f t="shared" si="65"/>
        <v>0</v>
      </c>
      <c r="AC474" s="44">
        <f>IF(Esiehdot!E$4=IFERROR(VLOOKUP(E474,Valintalistat!D$2:H$7,5,0),99),1,0)</f>
        <v>0</v>
      </c>
      <c r="AD474" s="44">
        <f>IF(Esiehdot!E$5=IFERROR(VLOOKUP(F474,Valintalistat!E$2:H$5,4,0),99),1,0)</f>
        <v>0</v>
      </c>
      <c r="AE474" s="44">
        <f>IF(Esiehdot!E$6=IFERROR(VLOOKUP(G474,Valintalistat!F$2:H$5,3,0),99),1,0)</f>
        <v>0</v>
      </c>
      <c r="AF474" s="44">
        <f>IF(Esiehdot!E$8=IFERROR(VLOOKUP(H474,Valintalistat!G$2:H$3,2,0),98),1,0)</f>
        <v>0</v>
      </c>
      <c r="AG474" s="43">
        <f t="shared" si="66"/>
        <v>0</v>
      </c>
      <c r="AH474" s="43">
        <f>IFERROR(HLOOKUP(Esiehdot!$B$17,Käyttötapauskriteerit!G$1:P223,474,0),1)</f>
        <v>1</v>
      </c>
      <c r="AI474" s="43">
        <f t="shared" si="67"/>
        <v>0</v>
      </c>
      <c r="AJ474" s="43">
        <f t="shared" si="68"/>
        <v>0</v>
      </c>
      <c r="AK474" s="43">
        <f t="shared" si="69"/>
        <v>0</v>
      </c>
      <c r="AL474" s="43">
        <f t="shared" si="70"/>
        <v>0</v>
      </c>
      <c r="AM474" s="43"/>
      <c r="AN474" s="45" t="str">
        <f t="shared" si="71"/>
        <v/>
      </c>
    </row>
    <row r="475" spans="1:40" ht="15.6">
      <c r="A475" s="5"/>
      <c r="B475" s="5"/>
      <c r="E475" s="17"/>
      <c r="F475" s="17"/>
      <c r="G475" s="17"/>
      <c r="H475" s="17"/>
      <c r="I475" s="17"/>
      <c r="J475" s="17"/>
      <c r="K475" s="17"/>
      <c r="L475" s="32"/>
      <c r="M475" s="61"/>
      <c r="N475" s="23"/>
      <c r="O475" s="23"/>
      <c r="P475" s="9"/>
      <c r="Q475" s="9"/>
      <c r="R475" s="9"/>
      <c r="S475" s="9"/>
      <c r="U475" s="42" t="str">
        <f t="shared" si="63"/>
        <v>, L:, E:, S:, TS:</v>
      </c>
      <c r="V475" s="42" t="str">
        <f t="shared" si="64"/>
        <v/>
      </c>
      <c r="W475" s="43">
        <f>IFERROR(VLOOKUP(A475,Esiehdot!A$11:D$15,4,0), 0)</f>
        <v>0</v>
      </c>
      <c r="X475" s="44">
        <f>IF(Esiehdot!D$4&gt;=IFERROR(VLOOKUP(E475,Valintalistat!D$2:H$7,5,0), 99),1,0)</f>
        <v>0</v>
      </c>
      <c r="Y475" s="44">
        <f>IF(Esiehdot!D$5&gt;=IFERROR(VLOOKUP(F475,Valintalistat!E$2:H$5,4,0), 99),1,0)</f>
        <v>0</v>
      </c>
      <c r="Z475" s="44">
        <f>IF(Esiehdot!D$6&gt;=IFERROR(VLOOKUP(G475,Valintalistat!F$2:H$5,3,0),99),1,0)</f>
        <v>0</v>
      </c>
      <c r="AA475" s="44">
        <f>IF(Esiehdot!D$8&gt;=IFERROR(VLOOKUP(H475,Valintalistat!G$2:H$5,2,0),99),1,0)</f>
        <v>0</v>
      </c>
      <c r="AB475" s="43">
        <f t="shared" si="65"/>
        <v>0</v>
      </c>
      <c r="AC475" s="44">
        <f>IF(Esiehdot!E$4=IFERROR(VLOOKUP(E475,Valintalistat!D$2:H$7,5,0),99),1,0)</f>
        <v>0</v>
      </c>
      <c r="AD475" s="44">
        <f>IF(Esiehdot!E$5=IFERROR(VLOOKUP(F475,Valintalistat!E$2:H$5,4,0),99),1,0)</f>
        <v>0</v>
      </c>
      <c r="AE475" s="44">
        <f>IF(Esiehdot!E$6=IFERROR(VLOOKUP(G475,Valintalistat!F$2:H$5,3,0),99),1,0)</f>
        <v>0</v>
      </c>
      <c r="AF475" s="44">
        <f>IF(Esiehdot!E$8=IFERROR(VLOOKUP(H475,Valintalistat!G$2:H$3,2,0),98),1,0)</f>
        <v>0</v>
      </c>
      <c r="AG475" s="43">
        <f t="shared" si="66"/>
        <v>0</v>
      </c>
      <c r="AH475" s="43">
        <f>IFERROR(HLOOKUP(Esiehdot!$B$17,Käyttötapauskriteerit!G$1:P223,475,0),1)</f>
        <v>1</v>
      </c>
      <c r="AI475" s="43">
        <f t="shared" si="67"/>
        <v>0</v>
      </c>
      <c r="AJ475" s="43">
        <f t="shared" si="68"/>
        <v>0</v>
      </c>
      <c r="AK475" s="43">
        <f t="shared" si="69"/>
        <v>0</v>
      </c>
      <c r="AL475" s="43">
        <f t="shared" si="70"/>
        <v>0</v>
      </c>
      <c r="AM475" s="43"/>
      <c r="AN475" s="45" t="str">
        <f t="shared" si="71"/>
        <v/>
      </c>
    </row>
    <row r="476" spans="1:40" ht="15.6">
      <c r="A476" s="5"/>
      <c r="B476" s="5"/>
      <c r="E476" s="17"/>
      <c r="F476" s="17"/>
      <c r="G476" s="17"/>
      <c r="H476" s="17"/>
      <c r="I476" s="17"/>
      <c r="J476" s="17"/>
      <c r="K476" s="17"/>
      <c r="L476" s="32"/>
      <c r="M476" s="61"/>
      <c r="N476" s="23"/>
      <c r="O476" s="23"/>
      <c r="P476" s="9"/>
      <c r="Q476" s="9"/>
      <c r="R476" s="9"/>
      <c r="S476" s="9"/>
      <c r="U476" s="42" t="str">
        <f t="shared" si="63"/>
        <v>, L:, E:, S:, TS:</v>
      </c>
      <c r="V476" s="42" t="str">
        <f t="shared" si="64"/>
        <v/>
      </c>
      <c r="W476" s="43">
        <f>IFERROR(VLOOKUP(A476,Esiehdot!A$11:D$15,4,0), 0)</f>
        <v>0</v>
      </c>
      <c r="X476" s="44">
        <f>IF(Esiehdot!D$4&gt;=IFERROR(VLOOKUP(E476,Valintalistat!D$2:H$7,5,0), 99),1,0)</f>
        <v>0</v>
      </c>
      <c r="Y476" s="44">
        <f>IF(Esiehdot!D$5&gt;=IFERROR(VLOOKUP(F476,Valintalistat!E$2:H$5,4,0), 99),1,0)</f>
        <v>0</v>
      </c>
      <c r="Z476" s="44">
        <f>IF(Esiehdot!D$6&gt;=IFERROR(VLOOKUP(G476,Valintalistat!F$2:H$5,3,0),99),1,0)</f>
        <v>0</v>
      </c>
      <c r="AA476" s="44">
        <f>IF(Esiehdot!D$8&gt;=IFERROR(VLOOKUP(H476,Valintalistat!G$2:H$5,2,0),99),1,0)</f>
        <v>0</v>
      </c>
      <c r="AB476" s="43">
        <f t="shared" si="65"/>
        <v>0</v>
      </c>
      <c r="AC476" s="44">
        <f>IF(Esiehdot!E$4=IFERROR(VLOOKUP(E476,Valintalistat!D$2:H$7,5,0),99),1,0)</f>
        <v>0</v>
      </c>
      <c r="AD476" s="44">
        <f>IF(Esiehdot!E$5=IFERROR(VLOOKUP(F476,Valintalistat!E$2:H$5,4,0),99),1,0)</f>
        <v>0</v>
      </c>
      <c r="AE476" s="44">
        <f>IF(Esiehdot!E$6=IFERROR(VLOOKUP(G476,Valintalistat!F$2:H$5,3,0),99),1,0)</f>
        <v>0</v>
      </c>
      <c r="AF476" s="44">
        <f>IF(Esiehdot!E$8=IFERROR(VLOOKUP(H476,Valintalistat!G$2:H$3,2,0),98),1,0)</f>
        <v>0</v>
      </c>
      <c r="AG476" s="43">
        <f t="shared" si="66"/>
        <v>0</v>
      </c>
      <c r="AH476" s="43">
        <f>IFERROR(HLOOKUP(Esiehdot!$B$17,Käyttötapauskriteerit!G$1:P223,476,0),1)</f>
        <v>1</v>
      </c>
      <c r="AI476" s="43">
        <f t="shared" si="67"/>
        <v>0</v>
      </c>
      <c r="AJ476" s="43">
        <f t="shared" si="68"/>
        <v>0</v>
      </c>
      <c r="AK476" s="43">
        <f t="shared" si="69"/>
        <v>0</v>
      </c>
      <c r="AL476" s="43">
        <f t="shared" si="70"/>
        <v>0</v>
      </c>
      <c r="AM476" s="43"/>
      <c r="AN476" s="45" t="str">
        <f t="shared" si="71"/>
        <v/>
      </c>
    </row>
    <row r="477" spans="1:40" ht="15.6">
      <c r="A477" s="5"/>
      <c r="B477" s="5"/>
      <c r="E477" s="17"/>
      <c r="F477" s="17"/>
      <c r="G477" s="17"/>
      <c r="H477" s="17"/>
      <c r="I477" s="17"/>
      <c r="J477" s="17"/>
      <c r="K477" s="17"/>
      <c r="L477" s="32"/>
      <c r="M477" s="61"/>
      <c r="N477" s="23"/>
      <c r="O477" s="23"/>
      <c r="P477" s="9"/>
      <c r="Q477" s="9"/>
      <c r="R477" s="9"/>
      <c r="S477" s="9"/>
      <c r="U477" s="42" t="str">
        <f t="shared" si="63"/>
        <v>, L:, E:, S:, TS:</v>
      </c>
      <c r="V477" s="42" t="str">
        <f t="shared" si="64"/>
        <v/>
      </c>
      <c r="W477" s="43">
        <f>IFERROR(VLOOKUP(A477,Esiehdot!A$11:D$15,4,0), 0)</f>
        <v>0</v>
      </c>
      <c r="X477" s="44">
        <f>IF(Esiehdot!D$4&gt;=IFERROR(VLOOKUP(E477,Valintalistat!D$2:H$7,5,0), 99),1,0)</f>
        <v>0</v>
      </c>
      <c r="Y477" s="44">
        <f>IF(Esiehdot!D$5&gt;=IFERROR(VLOOKUP(F477,Valintalistat!E$2:H$5,4,0), 99),1,0)</f>
        <v>0</v>
      </c>
      <c r="Z477" s="44">
        <f>IF(Esiehdot!D$6&gt;=IFERROR(VLOOKUP(G477,Valintalistat!F$2:H$5,3,0),99),1,0)</f>
        <v>0</v>
      </c>
      <c r="AA477" s="44">
        <f>IF(Esiehdot!D$8&gt;=IFERROR(VLOOKUP(H477,Valintalistat!G$2:H$5,2,0),99),1,0)</f>
        <v>0</v>
      </c>
      <c r="AB477" s="43">
        <f t="shared" si="65"/>
        <v>0</v>
      </c>
      <c r="AC477" s="44">
        <f>IF(Esiehdot!E$4=IFERROR(VLOOKUP(E477,Valintalistat!D$2:H$7,5,0),99),1,0)</f>
        <v>0</v>
      </c>
      <c r="AD477" s="44">
        <f>IF(Esiehdot!E$5=IFERROR(VLOOKUP(F477,Valintalistat!E$2:H$5,4,0),99),1,0)</f>
        <v>0</v>
      </c>
      <c r="AE477" s="44">
        <f>IF(Esiehdot!E$6=IFERROR(VLOOKUP(G477,Valintalistat!F$2:H$5,3,0),99),1,0)</f>
        <v>0</v>
      </c>
      <c r="AF477" s="44">
        <f>IF(Esiehdot!E$8=IFERROR(VLOOKUP(H477,Valintalistat!G$2:H$3,2,0),98),1,0)</f>
        <v>0</v>
      </c>
      <c r="AG477" s="43">
        <f t="shared" si="66"/>
        <v>0</v>
      </c>
      <c r="AH477" s="43">
        <f>IFERROR(HLOOKUP(Esiehdot!$B$17,Käyttötapauskriteerit!G$1:P223,477,0),1)</f>
        <v>1</v>
      </c>
      <c r="AI477" s="43">
        <f t="shared" si="67"/>
        <v>0</v>
      </c>
      <c r="AJ477" s="43">
        <f t="shared" si="68"/>
        <v>0</v>
      </c>
      <c r="AK477" s="43">
        <f t="shared" si="69"/>
        <v>0</v>
      </c>
      <c r="AL477" s="43">
        <f t="shared" si="70"/>
        <v>0</v>
      </c>
      <c r="AM477" s="43"/>
      <c r="AN477" s="45" t="str">
        <f t="shared" si="71"/>
        <v/>
      </c>
    </row>
    <row r="478" spans="1:40" ht="15.6">
      <c r="A478" s="5"/>
      <c r="B478" s="5"/>
      <c r="E478" s="17"/>
      <c r="F478" s="17"/>
      <c r="G478" s="17"/>
      <c r="H478" s="17"/>
      <c r="I478" s="17"/>
      <c r="J478" s="17"/>
      <c r="K478" s="17"/>
      <c r="L478" s="32"/>
      <c r="M478" s="61"/>
      <c r="N478" s="23"/>
      <c r="O478" s="23"/>
      <c r="P478" s="9"/>
      <c r="Q478" s="9"/>
      <c r="R478" s="9"/>
      <c r="S478" s="9"/>
      <c r="U478" s="42" t="str">
        <f t="shared" si="63"/>
        <v>, L:, E:, S:, TS:</v>
      </c>
      <c r="V478" s="42" t="str">
        <f t="shared" si="64"/>
        <v/>
      </c>
      <c r="W478" s="43">
        <f>IFERROR(VLOOKUP(A478,Esiehdot!A$11:D$15,4,0), 0)</f>
        <v>0</v>
      </c>
      <c r="X478" s="44">
        <f>IF(Esiehdot!D$4&gt;=IFERROR(VLOOKUP(E478,Valintalistat!D$2:H$7,5,0), 99),1,0)</f>
        <v>0</v>
      </c>
      <c r="Y478" s="44">
        <f>IF(Esiehdot!D$5&gt;=IFERROR(VLOOKUP(F478,Valintalistat!E$2:H$5,4,0), 99),1,0)</f>
        <v>0</v>
      </c>
      <c r="Z478" s="44">
        <f>IF(Esiehdot!D$6&gt;=IFERROR(VLOOKUP(G478,Valintalistat!F$2:H$5,3,0),99),1,0)</f>
        <v>0</v>
      </c>
      <c r="AA478" s="44">
        <f>IF(Esiehdot!D$8&gt;=IFERROR(VLOOKUP(H478,Valintalistat!G$2:H$5,2,0),99),1,0)</f>
        <v>0</v>
      </c>
      <c r="AB478" s="43">
        <f t="shared" si="65"/>
        <v>0</v>
      </c>
      <c r="AC478" s="44">
        <f>IF(Esiehdot!E$4=IFERROR(VLOOKUP(E478,Valintalistat!D$2:H$7,5,0),99),1,0)</f>
        <v>0</v>
      </c>
      <c r="AD478" s="44">
        <f>IF(Esiehdot!E$5=IFERROR(VLOOKUP(F478,Valintalistat!E$2:H$5,4,0),99),1,0)</f>
        <v>0</v>
      </c>
      <c r="AE478" s="44">
        <f>IF(Esiehdot!E$6=IFERROR(VLOOKUP(G478,Valintalistat!F$2:H$5,3,0),99),1,0)</f>
        <v>0</v>
      </c>
      <c r="AF478" s="44">
        <f>IF(Esiehdot!E$8=IFERROR(VLOOKUP(H478,Valintalistat!G$2:H$3,2,0),98),1,0)</f>
        <v>0</v>
      </c>
      <c r="AG478" s="43">
        <f t="shared" si="66"/>
        <v>0</v>
      </c>
      <c r="AH478" s="43">
        <f>IFERROR(HLOOKUP(Esiehdot!$B$17,Käyttötapauskriteerit!G$1:P223,478,0),1)</f>
        <v>1</v>
      </c>
      <c r="AI478" s="43">
        <f t="shared" si="67"/>
        <v>0</v>
      </c>
      <c r="AJ478" s="43">
        <f t="shared" si="68"/>
        <v>0</v>
      </c>
      <c r="AK478" s="43">
        <f t="shared" si="69"/>
        <v>0</v>
      </c>
      <c r="AL478" s="43">
        <f t="shared" si="70"/>
        <v>0</v>
      </c>
      <c r="AM478" s="43"/>
      <c r="AN478" s="45" t="str">
        <f t="shared" si="71"/>
        <v/>
      </c>
    </row>
    <row r="479" spans="1:40" ht="15.6">
      <c r="A479" s="5"/>
      <c r="B479" s="5"/>
      <c r="E479" s="17"/>
      <c r="F479" s="17"/>
      <c r="G479" s="17"/>
      <c r="H479" s="17"/>
      <c r="I479" s="17"/>
      <c r="J479" s="17"/>
      <c r="K479" s="17"/>
      <c r="L479" s="32"/>
      <c r="M479" s="61"/>
      <c r="N479" s="23"/>
      <c r="O479" s="23"/>
      <c r="P479" s="9"/>
      <c r="Q479" s="9"/>
      <c r="R479" s="9"/>
      <c r="S479" s="9"/>
      <c r="U479" s="42" t="str">
        <f t="shared" si="63"/>
        <v>, L:, E:, S:, TS:</v>
      </c>
      <c r="V479" s="42" t="str">
        <f t="shared" si="64"/>
        <v/>
      </c>
      <c r="W479" s="43">
        <f>IFERROR(VLOOKUP(A479,Esiehdot!A$11:D$15,4,0), 0)</f>
        <v>0</v>
      </c>
      <c r="X479" s="44">
        <f>IF(Esiehdot!D$4&gt;=IFERROR(VLOOKUP(E479,Valintalistat!D$2:H$7,5,0), 99),1,0)</f>
        <v>0</v>
      </c>
      <c r="Y479" s="44">
        <f>IF(Esiehdot!D$5&gt;=IFERROR(VLOOKUP(F479,Valintalistat!E$2:H$5,4,0), 99),1,0)</f>
        <v>0</v>
      </c>
      <c r="Z479" s="44">
        <f>IF(Esiehdot!D$6&gt;=IFERROR(VLOOKUP(G479,Valintalistat!F$2:H$5,3,0),99),1,0)</f>
        <v>0</v>
      </c>
      <c r="AA479" s="44">
        <f>IF(Esiehdot!D$8&gt;=IFERROR(VLOOKUP(H479,Valintalistat!G$2:H$5,2,0),99),1,0)</f>
        <v>0</v>
      </c>
      <c r="AB479" s="43">
        <f t="shared" si="65"/>
        <v>0</v>
      </c>
      <c r="AC479" s="44">
        <f>IF(Esiehdot!E$4=IFERROR(VLOOKUP(E479,Valintalistat!D$2:H$7,5,0),99),1,0)</f>
        <v>0</v>
      </c>
      <c r="AD479" s="44">
        <f>IF(Esiehdot!E$5=IFERROR(VLOOKUP(F479,Valintalistat!E$2:H$5,4,0),99),1,0)</f>
        <v>0</v>
      </c>
      <c r="AE479" s="44">
        <f>IF(Esiehdot!E$6=IFERROR(VLOOKUP(G479,Valintalistat!F$2:H$5,3,0),99),1,0)</f>
        <v>0</v>
      </c>
      <c r="AF479" s="44">
        <f>IF(Esiehdot!E$8=IFERROR(VLOOKUP(H479,Valintalistat!G$2:H$3,2,0),98),1,0)</f>
        <v>0</v>
      </c>
      <c r="AG479" s="43">
        <f t="shared" si="66"/>
        <v>0</v>
      </c>
      <c r="AH479" s="43">
        <f>IFERROR(HLOOKUP(Esiehdot!$B$17,Käyttötapauskriteerit!G$1:P223,479,0),1)</f>
        <v>1</v>
      </c>
      <c r="AI479" s="43">
        <f t="shared" si="67"/>
        <v>0</v>
      </c>
      <c r="AJ479" s="43">
        <f t="shared" si="68"/>
        <v>0</v>
      </c>
      <c r="AK479" s="43">
        <f t="shared" si="69"/>
        <v>0</v>
      </c>
      <c r="AL479" s="43">
        <f t="shared" si="70"/>
        <v>0</v>
      </c>
      <c r="AM479" s="43"/>
      <c r="AN479" s="45" t="str">
        <f t="shared" si="71"/>
        <v/>
      </c>
    </row>
    <row r="480" spans="1:40" ht="15.6">
      <c r="A480" s="5"/>
      <c r="B480" s="5"/>
      <c r="E480" s="17"/>
      <c r="F480" s="17"/>
      <c r="G480" s="17"/>
      <c r="H480" s="17"/>
      <c r="I480" s="17"/>
      <c r="J480" s="17"/>
      <c r="K480" s="17"/>
      <c r="L480" s="32"/>
      <c r="M480" s="61"/>
      <c r="N480" s="23"/>
      <c r="O480" s="23"/>
      <c r="P480" s="9"/>
      <c r="Q480" s="9"/>
      <c r="R480" s="9"/>
      <c r="S480" s="9"/>
      <c r="U480" s="42" t="str">
        <f t="shared" si="63"/>
        <v>, L:, E:, S:, TS:</v>
      </c>
      <c r="V480" s="42" t="str">
        <f t="shared" si="64"/>
        <v/>
      </c>
      <c r="W480" s="43">
        <f>IFERROR(VLOOKUP(A480,Esiehdot!A$11:D$15,4,0), 0)</f>
        <v>0</v>
      </c>
      <c r="X480" s="44">
        <f>IF(Esiehdot!D$4&gt;=IFERROR(VLOOKUP(E480,Valintalistat!D$2:H$7,5,0), 99),1,0)</f>
        <v>0</v>
      </c>
      <c r="Y480" s="44">
        <f>IF(Esiehdot!D$5&gt;=IFERROR(VLOOKUP(F480,Valintalistat!E$2:H$5,4,0), 99),1,0)</f>
        <v>0</v>
      </c>
      <c r="Z480" s="44">
        <f>IF(Esiehdot!D$6&gt;=IFERROR(VLOOKUP(G480,Valintalistat!F$2:H$5,3,0),99),1,0)</f>
        <v>0</v>
      </c>
      <c r="AA480" s="44">
        <f>IF(Esiehdot!D$8&gt;=IFERROR(VLOOKUP(H480,Valintalistat!G$2:H$5,2,0),99),1,0)</f>
        <v>0</v>
      </c>
      <c r="AB480" s="43">
        <f t="shared" si="65"/>
        <v>0</v>
      </c>
      <c r="AC480" s="44">
        <f>IF(Esiehdot!E$4=IFERROR(VLOOKUP(E480,Valintalistat!D$2:H$7,5,0),99),1,0)</f>
        <v>0</v>
      </c>
      <c r="AD480" s="44">
        <f>IF(Esiehdot!E$5=IFERROR(VLOOKUP(F480,Valintalistat!E$2:H$5,4,0),99),1,0)</f>
        <v>0</v>
      </c>
      <c r="AE480" s="44">
        <f>IF(Esiehdot!E$6=IFERROR(VLOOKUP(G480,Valintalistat!F$2:H$5,3,0),99),1,0)</f>
        <v>0</v>
      </c>
      <c r="AF480" s="44">
        <f>IF(Esiehdot!E$8=IFERROR(VLOOKUP(H480,Valintalistat!G$2:H$3,2,0),98),1,0)</f>
        <v>0</v>
      </c>
      <c r="AG480" s="43">
        <f t="shared" si="66"/>
        <v>0</v>
      </c>
      <c r="AH480" s="43">
        <f>IFERROR(HLOOKUP(Esiehdot!$B$17,Käyttötapauskriteerit!G$1:P223,480,0),1)</f>
        <v>1</v>
      </c>
      <c r="AI480" s="43">
        <f t="shared" si="67"/>
        <v>0</v>
      </c>
      <c r="AJ480" s="43">
        <f t="shared" si="68"/>
        <v>0</v>
      </c>
      <c r="AK480" s="43">
        <f t="shared" si="69"/>
        <v>0</v>
      </c>
      <c r="AL480" s="43">
        <f t="shared" si="70"/>
        <v>0</v>
      </c>
      <c r="AM480" s="43"/>
      <c r="AN480" s="45" t="str">
        <f t="shared" si="71"/>
        <v/>
      </c>
    </row>
    <row r="481" spans="1:40" ht="15.6">
      <c r="A481" s="5"/>
      <c r="B481" s="5"/>
      <c r="E481" s="17"/>
      <c r="F481" s="17"/>
      <c r="G481" s="17"/>
      <c r="H481" s="17"/>
      <c r="I481" s="17"/>
      <c r="J481" s="17"/>
      <c r="K481" s="17"/>
      <c r="L481" s="32"/>
      <c r="M481" s="61"/>
      <c r="N481" s="23"/>
      <c r="O481" s="23"/>
      <c r="P481" s="9"/>
      <c r="Q481" s="9"/>
      <c r="R481" s="9"/>
      <c r="S481" s="9"/>
      <c r="U481" s="42" t="str">
        <f t="shared" si="63"/>
        <v>, L:, E:, S:, TS:</v>
      </c>
      <c r="V481" s="42" t="str">
        <f t="shared" si="64"/>
        <v/>
      </c>
      <c r="W481" s="43">
        <f>IFERROR(VLOOKUP(A481,Esiehdot!A$11:D$15,4,0), 0)</f>
        <v>0</v>
      </c>
      <c r="X481" s="44">
        <f>IF(Esiehdot!D$4&gt;=IFERROR(VLOOKUP(E481,Valintalistat!D$2:H$7,5,0), 99),1,0)</f>
        <v>0</v>
      </c>
      <c r="Y481" s="44">
        <f>IF(Esiehdot!D$5&gt;=IFERROR(VLOOKUP(F481,Valintalistat!E$2:H$5,4,0), 99),1,0)</f>
        <v>0</v>
      </c>
      <c r="Z481" s="44">
        <f>IF(Esiehdot!D$6&gt;=IFERROR(VLOOKUP(G481,Valintalistat!F$2:H$5,3,0),99),1,0)</f>
        <v>0</v>
      </c>
      <c r="AA481" s="44">
        <f>IF(Esiehdot!D$8&gt;=IFERROR(VLOOKUP(H481,Valintalistat!G$2:H$5,2,0),99),1,0)</f>
        <v>0</v>
      </c>
      <c r="AB481" s="43">
        <f t="shared" si="65"/>
        <v>0</v>
      </c>
      <c r="AC481" s="44">
        <f>IF(Esiehdot!E$4=IFERROR(VLOOKUP(E481,Valintalistat!D$2:H$7,5,0),99),1,0)</f>
        <v>0</v>
      </c>
      <c r="AD481" s="44">
        <f>IF(Esiehdot!E$5=IFERROR(VLOOKUP(F481,Valintalistat!E$2:H$5,4,0),99),1,0)</f>
        <v>0</v>
      </c>
      <c r="AE481" s="44">
        <f>IF(Esiehdot!E$6=IFERROR(VLOOKUP(G481,Valintalistat!F$2:H$5,3,0),99),1,0)</f>
        <v>0</v>
      </c>
      <c r="AF481" s="44">
        <f>IF(Esiehdot!E$8=IFERROR(VLOOKUP(H481,Valintalistat!G$2:H$3,2,0),98),1,0)</f>
        <v>0</v>
      </c>
      <c r="AG481" s="43">
        <f t="shared" si="66"/>
        <v>0</v>
      </c>
      <c r="AH481" s="43">
        <f>IFERROR(HLOOKUP(Esiehdot!$B$17,Käyttötapauskriteerit!G$1:P223,481,0),1)</f>
        <v>1</v>
      </c>
      <c r="AI481" s="43">
        <f t="shared" si="67"/>
        <v>0</v>
      </c>
      <c r="AJ481" s="43">
        <f t="shared" si="68"/>
        <v>0</v>
      </c>
      <c r="AK481" s="43">
        <f t="shared" si="69"/>
        <v>0</v>
      </c>
      <c r="AL481" s="43">
        <f t="shared" si="70"/>
        <v>0</v>
      </c>
      <c r="AM481" s="43"/>
      <c r="AN481" s="45" t="str">
        <f t="shared" si="71"/>
        <v/>
      </c>
    </row>
    <row r="482" spans="1:40" ht="15.6">
      <c r="A482" s="5"/>
      <c r="B482" s="5"/>
      <c r="E482" s="17"/>
      <c r="F482" s="17"/>
      <c r="G482" s="17"/>
      <c r="H482" s="17"/>
      <c r="I482" s="17"/>
      <c r="J482" s="17"/>
      <c r="K482" s="17"/>
      <c r="L482" s="32"/>
      <c r="M482" s="61"/>
      <c r="N482" s="23"/>
      <c r="O482" s="23"/>
      <c r="P482" s="9"/>
      <c r="Q482" s="9"/>
      <c r="R482" s="9"/>
      <c r="S482" s="9"/>
      <c r="U482" s="42" t="str">
        <f t="shared" si="63"/>
        <v>, L:, E:, S:, TS:</v>
      </c>
      <c r="V482" s="42" t="str">
        <f t="shared" si="64"/>
        <v/>
      </c>
      <c r="W482" s="43">
        <f>IFERROR(VLOOKUP(A482,Esiehdot!A$11:D$15,4,0), 0)</f>
        <v>0</v>
      </c>
      <c r="X482" s="44">
        <f>IF(Esiehdot!D$4&gt;=IFERROR(VLOOKUP(E482,Valintalistat!D$2:H$7,5,0), 99),1,0)</f>
        <v>0</v>
      </c>
      <c r="Y482" s="44">
        <f>IF(Esiehdot!D$5&gt;=IFERROR(VLOOKUP(F482,Valintalistat!E$2:H$5,4,0), 99),1,0)</f>
        <v>0</v>
      </c>
      <c r="Z482" s="44">
        <f>IF(Esiehdot!D$6&gt;=IFERROR(VLOOKUP(G482,Valintalistat!F$2:H$5,3,0),99),1,0)</f>
        <v>0</v>
      </c>
      <c r="AA482" s="44">
        <f>IF(Esiehdot!D$8&gt;=IFERROR(VLOOKUP(H482,Valintalistat!G$2:H$5,2,0),99),1,0)</f>
        <v>0</v>
      </c>
      <c r="AB482" s="43">
        <f t="shared" si="65"/>
        <v>0</v>
      </c>
      <c r="AC482" s="44">
        <f>IF(Esiehdot!E$4=IFERROR(VLOOKUP(E482,Valintalistat!D$2:H$7,5,0),99),1,0)</f>
        <v>0</v>
      </c>
      <c r="AD482" s="44">
        <f>IF(Esiehdot!E$5=IFERROR(VLOOKUP(F482,Valintalistat!E$2:H$5,4,0),99),1,0)</f>
        <v>0</v>
      </c>
      <c r="AE482" s="44">
        <f>IF(Esiehdot!E$6=IFERROR(VLOOKUP(G482,Valintalistat!F$2:H$5,3,0),99),1,0)</f>
        <v>0</v>
      </c>
      <c r="AF482" s="44">
        <f>IF(Esiehdot!E$8=IFERROR(VLOOKUP(H482,Valintalistat!G$2:H$3,2,0),98),1,0)</f>
        <v>0</v>
      </c>
      <c r="AG482" s="43">
        <f t="shared" si="66"/>
        <v>0</v>
      </c>
      <c r="AH482" s="43">
        <f>IFERROR(HLOOKUP(Esiehdot!$B$17,Käyttötapauskriteerit!G$1:P223,482,0),1)</f>
        <v>1</v>
      </c>
      <c r="AI482" s="43">
        <f t="shared" si="67"/>
        <v>0</v>
      </c>
      <c r="AJ482" s="43">
        <f t="shared" si="68"/>
        <v>0</v>
      </c>
      <c r="AK482" s="43">
        <f t="shared" si="69"/>
        <v>0</v>
      </c>
      <c r="AL482" s="43">
        <f t="shared" si="70"/>
        <v>0</v>
      </c>
      <c r="AM482" s="43"/>
      <c r="AN482" s="45" t="str">
        <f t="shared" si="71"/>
        <v/>
      </c>
    </row>
    <row r="483" spans="1:40" ht="15.6">
      <c r="A483" s="5"/>
      <c r="B483" s="5"/>
      <c r="E483" s="17"/>
      <c r="F483" s="17"/>
      <c r="G483" s="17"/>
      <c r="H483" s="17"/>
      <c r="I483" s="17"/>
      <c r="J483" s="17"/>
      <c r="K483" s="17"/>
      <c r="L483" s="32"/>
      <c r="M483" s="61"/>
      <c r="N483" s="23"/>
      <c r="O483" s="23"/>
      <c r="P483" s="9"/>
      <c r="Q483" s="9"/>
      <c r="R483" s="9"/>
      <c r="S483" s="9"/>
      <c r="U483" s="42" t="str">
        <f t="shared" si="63"/>
        <v>, L:, E:, S:, TS:</v>
      </c>
      <c r="V483" s="42" t="str">
        <f t="shared" si="64"/>
        <v/>
      </c>
      <c r="W483" s="43">
        <f>IFERROR(VLOOKUP(A483,Esiehdot!A$11:D$15,4,0), 0)</f>
        <v>0</v>
      </c>
      <c r="X483" s="44">
        <f>IF(Esiehdot!D$4&gt;=IFERROR(VLOOKUP(E483,Valintalistat!D$2:H$7,5,0), 99),1,0)</f>
        <v>0</v>
      </c>
      <c r="Y483" s="44">
        <f>IF(Esiehdot!D$5&gt;=IFERROR(VLOOKUP(F483,Valintalistat!E$2:H$5,4,0), 99),1,0)</f>
        <v>0</v>
      </c>
      <c r="Z483" s="44">
        <f>IF(Esiehdot!D$6&gt;=IFERROR(VLOOKUP(G483,Valintalistat!F$2:H$5,3,0),99),1,0)</f>
        <v>0</v>
      </c>
      <c r="AA483" s="44">
        <f>IF(Esiehdot!D$8&gt;=IFERROR(VLOOKUP(H483,Valintalistat!G$2:H$5,2,0),99),1,0)</f>
        <v>0</v>
      </c>
      <c r="AB483" s="43">
        <f t="shared" si="65"/>
        <v>0</v>
      </c>
      <c r="AC483" s="44">
        <f>IF(Esiehdot!E$4=IFERROR(VLOOKUP(E483,Valintalistat!D$2:H$7,5,0),99),1,0)</f>
        <v>0</v>
      </c>
      <c r="AD483" s="44">
        <f>IF(Esiehdot!E$5=IFERROR(VLOOKUP(F483,Valintalistat!E$2:H$5,4,0),99),1,0)</f>
        <v>0</v>
      </c>
      <c r="AE483" s="44">
        <f>IF(Esiehdot!E$6=IFERROR(VLOOKUP(G483,Valintalistat!F$2:H$5,3,0),99),1,0)</f>
        <v>0</v>
      </c>
      <c r="AF483" s="44">
        <f>IF(Esiehdot!E$8=IFERROR(VLOOKUP(H483,Valintalistat!G$2:H$3,2,0),98),1,0)</f>
        <v>0</v>
      </c>
      <c r="AG483" s="43">
        <f t="shared" si="66"/>
        <v>0</v>
      </c>
      <c r="AH483" s="43">
        <f>IFERROR(HLOOKUP(Esiehdot!$B$17,Käyttötapauskriteerit!G$1:P223,483,0),1)</f>
        <v>1</v>
      </c>
      <c r="AI483" s="43">
        <f t="shared" si="67"/>
        <v>0</v>
      </c>
      <c r="AJ483" s="43">
        <f t="shared" si="68"/>
        <v>0</v>
      </c>
      <c r="AK483" s="43">
        <f t="shared" si="69"/>
        <v>0</v>
      </c>
      <c r="AL483" s="43">
        <f t="shared" si="70"/>
        <v>0</v>
      </c>
      <c r="AM483" s="43"/>
      <c r="AN483" s="45" t="str">
        <f t="shared" si="71"/>
        <v/>
      </c>
    </row>
    <row r="484" spans="1:40" ht="15.6">
      <c r="A484" s="5"/>
      <c r="B484" s="5"/>
      <c r="E484" s="17"/>
      <c r="F484" s="17"/>
      <c r="G484" s="17"/>
      <c r="H484" s="17"/>
      <c r="I484" s="17"/>
      <c r="J484" s="17"/>
      <c r="K484" s="17"/>
      <c r="L484" s="32"/>
      <c r="M484" s="61"/>
      <c r="N484" s="23"/>
      <c r="O484" s="23"/>
      <c r="P484" s="9"/>
      <c r="Q484" s="9"/>
      <c r="R484" s="9"/>
      <c r="S484" s="9"/>
      <c r="U484" s="42" t="str">
        <f t="shared" si="63"/>
        <v>, L:, E:, S:, TS:</v>
      </c>
      <c r="V484" s="42" t="str">
        <f t="shared" si="64"/>
        <v/>
      </c>
      <c r="W484" s="43">
        <f>IFERROR(VLOOKUP(A484,Esiehdot!A$11:D$15,4,0), 0)</f>
        <v>0</v>
      </c>
      <c r="X484" s="44">
        <f>IF(Esiehdot!D$4&gt;=IFERROR(VLOOKUP(E484,Valintalistat!D$2:H$7,5,0), 99),1,0)</f>
        <v>0</v>
      </c>
      <c r="Y484" s="44">
        <f>IF(Esiehdot!D$5&gt;=IFERROR(VLOOKUP(F484,Valintalistat!E$2:H$5,4,0), 99),1,0)</f>
        <v>0</v>
      </c>
      <c r="Z484" s="44">
        <f>IF(Esiehdot!D$6&gt;=IFERROR(VLOOKUP(G484,Valintalistat!F$2:H$5,3,0),99),1,0)</f>
        <v>0</v>
      </c>
      <c r="AA484" s="44">
        <f>IF(Esiehdot!D$8&gt;=IFERROR(VLOOKUP(H484,Valintalistat!G$2:H$5,2,0),99),1,0)</f>
        <v>0</v>
      </c>
      <c r="AB484" s="43">
        <f t="shared" si="65"/>
        <v>0</v>
      </c>
      <c r="AC484" s="44">
        <f>IF(Esiehdot!E$4=IFERROR(VLOOKUP(E484,Valintalistat!D$2:H$7,5,0),99),1,0)</f>
        <v>0</v>
      </c>
      <c r="AD484" s="44">
        <f>IF(Esiehdot!E$5=IFERROR(VLOOKUP(F484,Valintalistat!E$2:H$5,4,0),99),1,0)</f>
        <v>0</v>
      </c>
      <c r="AE484" s="44">
        <f>IF(Esiehdot!E$6=IFERROR(VLOOKUP(G484,Valintalistat!F$2:H$5,3,0),99),1,0)</f>
        <v>0</v>
      </c>
      <c r="AF484" s="44">
        <f>IF(Esiehdot!E$8=IFERROR(VLOOKUP(H484,Valintalistat!G$2:H$3,2,0),98),1,0)</f>
        <v>0</v>
      </c>
      <c r="AG484" s="43">
        <f t="shared" si="66"/>
        <v>0</v>
      </c>
      <c r="AH484" s="43">
        <f>IFERROR(HLOOKUP(Esiehdot!$B$17,Käyttötapauskriteerit!G$1:P223,484,0),1)</f>
        <v>1</v>
      </c>
      <c r="AI484" s="43">
        <f t="shared" si="67"/>
        <v>0</v>
      </c>
      <c r="AJ484" s="43">
        <f t="shared" si="68"/>
        <v>0</v>
      </c>
      <c r="AK484" s="43">
        <f t="shared" si="69"/>
        <v>0</v>
      </c>
      <c r="AL484" s="43">
        <f t="shared" si="70"/>
        <v>0</v>
      </c>
      <c r="AM484" s="43"/>
      <c r="AN484" s="45" t="str">
        <f t="shared" si="71"/>
        <v/>
      </c>
    </row>
    <row r="485" spans="1:40" ht="15.6">
      <c r="A485" s="5"/>
      <c r="B485" s="5"/>
      <c r="E485" s="17"/>
      <c r="F485" s="17"/>
      <c r="G485" s="17"/>
      <c r="H485" s="17"/>
      <c r="I485" s="17"/>
      <c r="J485" s="17"/>
      <c r="K485" s="17"/>
      <c r="L485" s="32"/>
      <c r="M485" s="61"/>
      <c r="N485" s="23"/>
      <c r="O485" s="23"/>
      <c r="P485" s="9"/>
      <c r="Q485" s="9"/>
      <c r="R485" s="9"/>
      <c r="S485" s="9"/>
      <c r="U485" s="42" t="str">
        <f t="shared" si="63"/>
        <v>, L:, E:, S:, TS:</v>
      </c>
      <c r="V485" s="42" t="str">
        <f t="shared" si="64"/>
        <v/>
      </c>
      <c r="W485" s="43">
        <f>IFERROR(VLOOKUP(A485,Esiehdot!A$11:D$15,4,0), 0)</f>
        <v>0</v>
      </c>
      <c r="X485" s="44">
        <f>IF(Esiehdot!D$4&gt;=IFERROR(VLOOKUP(E485,Valintalistat!D$2:H$7,5,0), 99),1,0)</f>
        <v>0</v>
      </c>
      <c r="Y485" s="44">
        <f>IF(Esiehdot!D$5&gt;=IFERROR(VLOOKUP(F485,Valintalistat!E$2:H$5,4,0), 99),1,0)</f>
        <v>0</v>
      </c>
      <c r="Z485" s="44">
        <f>IF(Esiehdot!D$6&gt;=IFERROR(VLOOKUP(G485,Valintalistat!F$2:H$5,3,0),99),1,0)</f>
        <v>0</v>
      </c>
      <c r="AA485" s="44">
        <f>IF(Esiehdot!D$8&gt;=IFERROR(VLOOKUP(H485,Valintalistat!G$2:H$5,2,0),99),1,0)</f>
        <v>0</v>
      </c>
      <c r="AB485" s="43">
        <f t="shared" si="65"/>
        <v>0</v>
      </c>
      <c r="AC485" s="44">
        <f>IF(Esiehdot!E$4=IFERROR(VLOOKUP(E485,Valintalistat!D$2:H$7,5,0),99),1,0)</f>
        <v>0</v>
      </c>
      <c r="AD485" s="44">
        <f>IF(Esiehdot!E$5=IFERROR(VLOOKUP(F485,Valintalistat!E$2:H$5,4,0),99),1,0)</f>
        <v>0</v>
      </c>
      <c r="AE485" s="44">
        <f>IF(Esiehdot!E$6=IFERROR(VLOOKUP(G485,Valintalistat!F$2:H$5,3,0),99),1,0)</f>
        <v>0</v>
      </c>
      <c r="AF485" s="44">
        <f>IF(Esiehdot!E$8=IFERROR(VLOOKUP(H485,Valintalistat!G$2:H$3,2,0),98),1,0)</f>
        <v>0</v>
      </c>
      <c r="AG485" s="43">
        <f t="shared" si="66"/>
        <v>0</v>
      </c>
      <c r="AH485" s="43">
        <f>IFERROR(HLOOKUP(Esiehdot!$B$17,Käyttötapauskriteerit!G$1:P223,485,0),1)</f>
        <v>1</v>
      </c>
      <c r="AI485" s="43">
        <f t="shared" si="67"/>
        <v>0</v>
      </c>
      <c r="AJ485" s="43">
        <f t="shared" si="68"/>
        <v>0</v>
      </c>
      <c r="AK485" s="43">
        <f t="shared" si="69"/>
        <v>0</v>
      </c>
      <c r="AL485" s="43">
        <f t="shared" si="70"/>
        <v>0</v>
      </c>
      <c r="AM485" s="43"/>
      <c r="AN485" s="45" t="str">
        <f t="shared" si="71"/>
        <v/>
      </c>
    </row>
    <row r="486" spans="1:40" ht="15.6">
      <c r="A486" s="5"/>
      <c r="B486" s="5"/>
      <c r="E486" s="17"/>
      <c r="F486" s="17"/>
      <c r="G486" s="17"/>
      <c r="H486" s="17"/>
      <c r="I486" s="17"/>
      <c r="J486" s="17"/>
      <c r="K486" s="17"/>
      <c r="L486" s="32"/>
      <c r="M486" s="61"/>
      <c r="N486" s="23"/>
      <c r="O486" s="23"/>
      <c r="P486" s="9"/>
      <c r="Q486" s="9"/>
      <c r="R486" s="9"/>
      <c r="S486" s="9"/>
      <c r="U486" s="42" t="str">
        <f t="shared" si="63"/>
        <v>, L:, E:, S:, TS:</v>
      </c>
      <c r="V486" s="42" t="str">
        <f t="shared" si="64"/>
        <v/>
      </c>
      <c r="W486" s="43">
        <f>IFERROR(VLOOKUP(A486,Esiehdot!A$11:D$15,4,0), 0)</f>
        <v>0</v>
      </c>
      <c r="X486" s="44">
        <f>IF(Esiehdot!D$4&gt;=IFERROR(VLOOKUP(E486,Valintalistat!D$2:H$7,5,0), 99),1,0)</f>
        <v>0</v>
      </c>
      <c r="Y486" s="44">
        <f>IF(Esiehdot!D$5&gt;=IFERROR(VLOOKUP(F486,Valintalistat!E$2:H$5,4,0), 99),1,0)</f>
        <v>0</v>
      </c>
      <c r="Z486" s="44">
        <f>IF(Esiehdot!D$6&gt;=IFERROR(VLOOKUP(G486,Valintalistat!F$2:H$5,3,0),99),1,0)</f>
        <v>0</v>
      </c>
      <c r="AA486" s="44">
        <f>IF(Esiehdot!D$8&gt;=IFERROR(VLOOKUP(H486,Valintalistat!G$2:H$5,2,0),99),1,0)</f>
        <v>0</v>
      </c>
      <c r="AB486" s="43">
        <f t="shared" si="65"/>
        <v>0</v>
      </c>
      <c r="AC486" s="44">
        <f>IF(Esiehdot!E$4=IFERROR(VLOOKUP(E486,Valintalistat!D$2:H$7,5,0),99),1,0)</f>
        <v>0</v>
      </c>
      <c r="AD486" s="44">
        <f>IF(Esiehdot!E$5=IFERROR(VLOOKUP(F486,Valintalistat!E$2:H$5,4,0),99),1,0)</f>
        <v>0</v>
      </c>
      <c r="AE486" s="44">
        <f>IF(Esiehdot!E$6=IFERROR(VLOOKUP(G486,Valintalistat!F$2:H$5,3,0),99),1,0)</f>
        <v>0</v>
      </c>
      <c r="AF486" s="44">
        <f>IF(Esiehdot!E$8=IFERROR(VLOOKUP(H486,Valintalistat!G$2:H$3,2,0),98),1,0)</f>
        <v>0</v>
      </c>
      <c r="AG486" s="43">
        <f t="shared" si="66"/>
        <v>0</v>
      </c>
      <c r="AH486" s="43">
        <f>IFERROR(HLOOKUP(Esiehdot!$B$17,Käyttötapauskriteerit!G$1:P223,486,0),1)</f>
        <v>1</v>
      </c>
      <c r="AI486" s="43">
        <f t="shared" si="67"/>
        <v>0</v>
      </c>
      <c r="AJ486" s="43">
        <f t="shared" si="68"/>
        <v>0</v>
      </c>
      <c r="AK486" s="43">
        <f t="shared" si="69"/>
        <v>0</v>
      </c>
      <c r="AL486" s="43">
        <f t="shared" si="70"/>
        <v>0</v>
      </c>
      <c r="AM486" s="43"/>
      <c r="AN486" s="45" t="str">
        <f t="shared" si="71"/>
        <v/>
      </c>
    </row>
    <row r="487" spans="1:40" ht="15.6">
      <c r="A487" s="5"/>
      <c r="B487" s="5"/>
      <c r="E487" s="17"/>
      <c r="F487" s="17"/>
      <c r="G487" s="17"/>
      <c r="H487" s="17"/>
      <c r="I487" s="17"/>
      <c r="J487" s="17"/>
      <c r="K487" s="17"/>
      <c r="L487" s="32"/>
      <c r="M487" s="61"/>
      <c r="N487" s="23"/>
      <c r="O487" s="23"/>
      <c r="P487" s="9"/>
      <c r="Q487" s="9"/>
      <c r="R487" s="9"/>
      <c r="S487" s="9"/>
      <c r="U487" s="42" t="str">
        <f t="shared" si="63"/>
        <v>, L:, E:, S:, TS:</v>
      </c>
      <c r="V487" s="42" t="str">
        <f t="shared" si="64"/>
        <v/>
      </c>
      <c r="W487" s="43">
        <f>IFERROR(VLOOKUP(A487,Esiehdot!A$11:D$15,4,0), 0)</f>
        <v>0</v>
      </c>
      <c r="X487" s="44">
        <f>IF(Esiehdot!D$4&gt;=IFERROR(VLOOKUP(E487,Valintalistat!D$2:H$7,5,0), 99),1,0)</f>
        <v>0</v>
      </c>
      <c r="Y487" s="44">
        <f>IF(Esiehdot!D$5&gt;=IFERROR(VLOOKUP(F487,Valintalistat!E$2:H$5,4,0), 99),1,0)</f>
        <v>0</v>
      </c>
      <c r="Z487" s="44">
        <f>IF(Esiehdot!D$6&gt;=IFERROR(VLOOKUP(G487,Valintalistat!F$2:H$5,3,0),99),1,0)</f>
        <v>0</v>
      </c>
      <c r="AA487" s="44">
        <f>IF(Esiehdot!D$8&gt;=IFERROR(VLOOKUP(H487,Valintalistat!G$2:H$5,2,0),99),1,0)</f>
        <v>0</v>
      </c>
      <c r="AB487" s="43">
        <f t="shared" si="65"/>
        <v>0</v>
      </c>
      <c r="AC487" s="44">
        <f>IF(Esiehdot!E$4=IFERROR(VLOOKUP(E487,Valintalistat!D$2:H$7,5,0),99),1,0)</f>
        <v>0</v>
      </c>
      <c r="AD487" s="44">
        <f>IF(Esiehdot!E$5=IFERROR(VLOOKUP(F487,Valintalistat!E$2:H$5,4,0),99),1,0)</f>
        <v>0</v>
      </c>
      <c r="AE487" s="44">
        <f>IF(Esiehdot!E$6=IFERROR(VLOOKUP(G487,Valintalistat!F$2:H$5,3,0),99),1,0)</f>
        <v>0</v>
      </c>
      <c r="AF487" s="44">
        <f>IF(Esiehdot!E$8=IFERROR(VLOOKUP(H487,Valintalistat!G$2:H$3,2,0),98),1,0)</f>
        <v>0</v>
      </c>
      <c r="AG487" s="43">
        <f t="shared" si="66"/>
        <v>0</v>
      </c>
      <c r="AH487" s="43">
        <f>IFERROR(HLOOKUP(Esiehdot!$B$17,Käyttötapauskriteerit!G$1:P223,487,0),1)</f>
        <v>1</v>
      </c>
      <c r="AI487" s="43">
        <f t="shared" si="67"/>
        <v>0</v>
      </c>
      <c r="AJ487" s="43">
        <f t="shared" si="68"/>
        <v>0</v>
      </c>
      <c r="AK487" s="43">
        <f t="shared" si="69"/>
        <v>0</v>
      </c>
      <c r="AL487" s="43">
        <f t="shared" si="70"/>
        <v>0</v>
      </c>
      <c r="AM487" s="43"/>
      <c r="AN487" s="45" t="str">
        <f t="shared" si="71"/>
        <v/>
      </c>
    </row>
    <row r="488" spans="1:40" ht="15.6">
      <c r="A488" s="5"/>
      <c r="B488" s="5"/>
      <c r="E488" s="17"/>
      <c r="F488" s="17"/>
      <c r="G488" s="17"/>
      <c r="H488" s="17"/>
      <c r="I488" s="17"/>
      <c r="J488" s="17"/>
      <c r="K488" s="17"/>
      <c r="L488" s="32"/>
      <c r="M488" s="61"/>
      <c r="N488" s="23"/>
      <c r="O488" s="23"/>
      <c r="P488" s="9"/>
      <c r="Q488" s="9"/>
      <c r="R488" s="9"/>
      <c r="S488" s="9"/>
      <c r="U488" s="42" t="str">
        <f t="shared" si="63"/>
        <v>, L:, E:, S:, TS:</v>
      </c>
      <c r="V488" s="42" t="str">
        <f t="shared" si="64"/>
        <v/>
      </c>
      <c r="W488" s="43">
        <f>IFERROR(VLOOKUP(A488,Esiehdot!A$11:D$15,4,0), 0)</f>
        <v>0</v>
      </c>
      <c r="X488" s="44">
        <f>IF(Esiehdot!D$4&gt;=IFERROR(VLOOKUP(E488,Valintalistat!D$2:H$7,5,0), 99),1,0)</f>
        <v>0</v>
      </c>
      <c r="Y488" s="44">
        <f>IF(Esiehdot!D$5&gt;=IFERROR(VLOOKUP(F488,Valintalistat!E$2:H$5,4,0), 99),1,0)</f>
        <v>0</v>
      </c>
      <c r="Z488" s="44">
        <f>IF(Esiehdot!D$6&gt;=IFERROR(VLOOKUP(G488,Valintalistat!F$2:H$5,3,0),99),1,0)</f>
        <v>0</v>
      </c>
      <c r="AA488" s="44">
        <f>IF(Esiehdot!D$8&gt;=IFERROR(VLOOKUP(H488,Valintalistat!G$2:H$5,2,0),99),1,0)</f>
        <v>0</v>
      </c>
      <c r="AB488" s="43">
        <f t="shared" si="65"/>
        <v>0</v>
      </c>
      <c r="AC488" s="44">
        <f>IF(Esiehdot!E$4=IFERROR(VLOOKUP(E488,Valintalistat!D$2:H$7,5,0),99),1,0)</f>
        <v>0</v>
      </c>
      <c r="AD488" s="44">
        <f>IF(Esiehdot!E$5=IFERROR(VLOOKUP(F488,Valintalistat!E$2:H$5,4,0),99),1,0)</f>
        <v>0</v>
      </c>
      <c r="AE488" s="44">
        <f>IF(Esiehdot!E$6=IFERROR(VLOOKUP(G488,Valintalistat!F$2:H$5,3,0),99),1,0)</f>
        <v>0</v>
      </c>
      <c r="AF488" s="44">
        <f>IF(Esiehdot!E$8=IFERROR(VLOOKUP(H488,Valintalistat!G$2:H$3,2,0),98),1,0)</f>
        <v>0</v>
      </c>
      <c r="AG488" s="43">
        <f t="shared" si="66"/>
        <v>0</v>
      </c>
      <c r="AH488" s="43">
        <f>IFERROR(HLOOKUP(Esiehdot!$B$17,Käyttötapauskriteerit!G$1:P223,488,0),1)</f>
        <v>1</v>
      </c>
      <c r="AI488" s="43">
        <f t="shared" si="67"/>
        <v>0</v>
      </c>
      <c r="AJ488" s="43">
        <f t="shared" si="68"/>
        <v>0</v>
      </c>
      <c r="AK488" s="43">
        <f t="shared" si="69"/>
        <v>0</v>
      </c>
      <c r="AL488" s="43">
        <f t="shared" si="70"/>
        <v>0</v>
      </c>
      <c r="AM488" s="43"/>
      <c r="AN488" s="45" t="str">
        <f t="shared" si="71"/>
        <v/>
      </c>
    </row>
    <row r="489" spans="1:40" ht="15.6">
      <c r="A489" s="5"/>
      <c r="B489" s="5"/>
      <c r="E489" s="17"/>
      <c r="F489" s="17"/>
      <c r="G489" s="17"/>
      <c r="H489" s="17"/>
      <c r="I489" s="17"/>
      <c r="J489" s="17"/>
      <c r="K489" s="17"/>
      <c r="L489" s="32"/>
      <c r="M489" s="61"/>
      <c r="N489" s="23"/>
      <c r="O489" s="23"/>
      <c r="P489" s="9"/>
      <c r="Q489" s="9"/>
      <c r="R489" s="9"/>
      <c r="S489" s="9"/>
      <c r="U489" s="42" t="str">
        <f t="shared" si="63"/>
        <v>, L:, E:, S:, TS:</v>
      </c>
      <c r="V489" s="42" t="str">
        <f t="shared" si="64"/>
        <v/>
      </c>
      <c r="W489" s="43">
        <f>IFERROR(VLOOKUP(A489,Esiehdot!A$11:D$15,4,0), 0)</f>
        <v>0</v>
      </c>
      <c r="X489" s="44">
        <f>IF(Esiehdot!D$4&gt;=IFERROR(VLOOKUP(E489,Valintalistat!D$2:H$7,5,0), 99),1,0)</f>
        <v>0</v>
      </c>
      <c r="Y489" s="44">
        <f>IF(Esiehdot!D$5&gt;=IFERROR(VLOOKUP(F489,Valintalistat!E$2:H$5,4,0), 99),1,0)</f>
        <v>0</v>
      </c>
      <c r="Z489" s="44">
        <f>IF(Esiehdot!D$6&gt;=IFERROR(VLOOKUP(G489,Valintalistat!F$2:H$5,3,0),99),1,0)</f>
        <v>0</v>
      </c>
      <c r="AA489" s="44">
        <f>IF(Esiehdot!D$8&gt;=IFERROR(VLOOKUP(H489,Valintalistat!G$2:H$5,2,0),99),1,0)</f>
        <v>0</v>
      </c>
      <c r="AB489" s="43">
        <f t="shared" si="65"/>
        <v>0</v>
      </c>
      <c r="AC489" s="44">
        <f>IF(Esiehdot!E$4=IFERROR(VLOOKUP(E489,Valintalistat!D$2:H$7,5,0),99),1,0)</f>
        <v>0</v>
      </c>
      <c r="AD489" s="44">
        <f>IF(Esiehdot!E$5=IFERROR(VLOOKUP(F489,Valintalistat!E$2:H$5,4,0),99),1,0)</f>
        <v>0</v>
      </c>
      <c r="AE489" s="44">
        <f>IF(Esiehdot!E$6=IFERROR(VLOOKUP(G489,Valintalistat!F$2:H$5,3,0),99),1,0)</f>
        <v>0</v>
      </c>
      <c r="AF489" s="44">
        <f>IF(Esiehdot!E$8=IFERROR(VLOOKUP(H489,Valintalistat!G$2:H$3,2,0),98),1,0)</f>
        <v>0</v>
      </c>
      <c r="AG489" s="43">
        <f t="shared" si="66"/>
        <v>0</v>
      </c>
      <c r="AH489" s="43">
        <f>IFERROR(HLOOKUP(Esiehdot!$B$17,Käyttötapauskriteerit!G$1:P223,489,0),1)</f>
        <v>1</v>
      </c>
      <c r="AI489" s="43">
        <f t="shared" si="67"/>
        <v>0</v>
      </c>
      <c r="AJ489" s="43">
        <f t="shared" si="68"/>
        <v>0</v>
      </c>
      <c r="AK489" s="43">
        <f t="shared" si="69"/>
        <v>0</v>
      </c>
      <c r="AL489" s="43">
        <f t="shared" si="70"/>
        <v>0</v>
      </c>
      <c r="AM489" s="43"/>
      <c r="AN489" s="45" t="str">
        <f t="shared" si="71"/>
        <v/>
      </c>
    </row>
    <row r="490" spans="1:40" ht="15.6">
      <c r="A490" s="5"/>
      <c r="B490" s="5"/>
      <c r="E490" s="17"/>
      <c r="F490" s="17"/>
      <c r="G490" s="17"/>
      <c r="H490" s="17"/>
      <c r="I490" s="17"/>
      <c r="J490" s="17"/>
      <c r="K490" s="17"/>
      <c r="L490" s="32"/>
      <c r="M490" s="61"/>
      <c r="N490" s="23"/>
      <c r="O490" s="23"/>
      <c r="P490" s="9"/>
      <c r="Q490" s="9"/>
      <c r="R490" s="9"/>
      <c r="S490" s="9"/>
      <c r="U490" s="42" t="str">
        <f t="shared" si="63"/>
        <v>, L:, E:, S:, TS:</v>
      </c>
      <c r="V490" s="42" t="str">
        <f t="shared" si="64"/>
        <v/>
      </c>
      <c r="W490" s="43">
        <f>IFERROR(VLOOKUP(A490,Esiehdot!A$11:D$15,4,0), 0)</f>
        <v>0</v>
      </c>
      <c r="X490" s="44">
        <f>IF(Esiehdot!D$4&gt;=IFERROR(VLOOKUP(E490,Valintalistat!D$2:H$7,5,0), 99),1,0)</f>
        <v>0</v>
      </c>
      <c r="Y490" s="44">
        <f>IF(Esiehdot!D$5&gt;=IFERROR(VLOOKUP(F490,Valintalistat!E$2:H$5,4,0), 99),1,0)</f>
        <v>0</v>
      </c>
      <c r="Z490" s="44">
        <f>IF(Esiehdot!D$6&gt;=IFERROR(VLOOKUP(G490,Valintalistat!F$2:H$5,3,0),99),1,0)</f>
        <v>0</v>
      </c>
      <c r="AA490" s="44">
        <f>IF(Esiehdot!D$8&gt;=IFERROR(VLOOKUP(H490,Valintalistat!G$2:H$5,2,0),99),1,0)</f>
        <v>0</v>
      </c>
      <c r="AB490" s="43">
        <f t="shared" si="65"/>
        <v>0</v>
      </c>
      <c r="AC490" s="44">
        <f>IF(Esiehdot!E$4=IFERROR(VLOOKUP(E490,Valintalistat!D$2:H$7,5,0),99),1,0)</f>
        <v>0</v>
      </c>
      <c r="AD490" s="44">
        <f>IF(Esiehdot!E$5=IFERROR(VLOOKUP(F490,Valintalistat!E$2:H$5,4,0),99),1,0)</f>
        <v>0</v>
      </c>
      <c r="AE490" s="44">
        <f>IF(Esiehdot!E$6=IFERROR(VLOOKUP(G490,Valintalistat!F$2:H$5,3,0),99),1,0)</f>
        <v>0</v>
      </c>
      <c r="AF490" s="44">
        <f>IF(Esiehdot!E$8=IFERROR(VLOOKUP(H490,Valintalistat!G$2:H$3,2,0),98),1,0)</f>
        <v>0</v>
      </c>
      <c r="AG490" s="43">
        <f t="shared" si="66"/>
        <v>0</v>
      </c>
      <c r="AH490" s="43">
        <f>IFERROR(HLOOKUP(Esiehdot!$B$17,Käyttötapauskriteerit!G$1:P223,490,0),1)</f>
        <v>1</v>
      </c>
      <c r="AI490" s="43">
        <f t="shared" si="67"/>
        <v>0</v>
      </c>
      <c r="AJ490" s="43">
        <f t="shared" si="68"/>
        <v>0</v>
      </c>
      <c r="AK490" s="43">
        <f t="shared" si="69"/>
        <v>0</v>
      </c>
      <c r="AL490" s="43">
        <f t="shared" si="70"/>
        <v>0</v>
      </c>
      <c r="AM490" s="43"/>
      <c r="AN490" s="45" t="str">
        <f t="shared" si="71"/>
        <v/>
      </c>
    </row>
    <row r="491" spans="1:40" ht="15.6">
      <c r="A491" s="5"/>
      <c r="B491" s="5"/>
      <c r="E491" s="17"/>
      <c r="F491" s="17"/>
      <c r="G491" s="17"/>
      <c r="H491" s="17"/>
      <c r="I491" s="17"/>
      <c r="J491" s="17"/>
      <c r="K491" s="17"/>
      <c r="L491" s="32"/>
      <c r="M491" s="61"/>
      <c r="N491" s="23"/>
      <c r="O491" s="23"/>
      <c r="P491" s="9"/>
      <c r="Q491" s="9"/>
      <c r="R491" s="9"/>
      <c r="S491" s="9"/>
      <c r="U491" s="42" t="str">
        <f t="shared" si="63"/>
        <v>, L:, E:, S:, TS:</v>
      </c>
      <c r="V491" s="42" t="str">
        <f t="shared" si="64"/>
        <v/>
      </c>
      <c r="W491" s="43">
        <f>IFERROR(VLOOKUP(A491,Esiehdot!A$11:D$15,4,0), 0)</f>
        <v>0</v>
      </c>
      <c r="X491" s="44">
        <f>IF(Esiehdot!D$4&gt;=IFERROR(VLOOKUP(E491,Valintalistat!D$2:H$7,5,0), 99),1,0)</f>
        <v>0</v>
      </c>
      <c r="Y491" s="44">
        <f>IF(Esiehdot!D$5&gt;=IFERROR(VLOOKUP(F491,Valintalistat!E$2:H$5,4,0), 99),1,0)</f>
        <v>0</v>
      </c>
      <c r="Z491" s="44">
        <f>IF(Esiehdot!D$6&gt;=IFERROR(VLOOKUP(G491,Valintalistat!F$2:H$5,3,0),99),1,0)</f>
        <v>0</v>
      </c>
      <c r="AA491" s="44">
        <f>IF(Esiehdot!D$8&gt;=IFERROR(VLOOKUP(H491,Valintalistat!G$2:H$5,2,0),99),1,0)</f>
        <v>0</v>
      </c>
      <c r="AB491" s="43">
        <f t="shared" si="65"/>
        <v>0</v>
      </c>
      <c r="AC491" s="44">
        <f>IF(Esiehdot!E$4=IFERROR(VLOOKUP(E491,Valintalistat!D$2:H$7,5,0),99),1,0)</f>
        <v>0</v>
      </c>
      <c r="AD491" s="44">
        <f>IF(Esiehdot!E$5=IFERROR(VLOOKUP(F491,Valintalistat!E$2:H$5,4,0),99),1,0)</f>
        <v>0</v>
      </c>
      <c r="AE491" s="44">
        <f>IF(Esiehdot!E$6=IFERROR(VLOOKUP(G491,Valintalistat!F$2:H$5,3,0),99),1,0)</f>
        <v>0</v>
      </c>
      <c r="AF491" s="44">
        <f>IF(Esiehdot!E$8=IFERROR(VLOOKUP(H491,Valintalistat!G$2:H$3,2,0),98),1,0)</f>
        <v>0</v>
      </c>
      <c r="AG491" s="43">
        <f t="shared" si="66"/>
        <v>0</v>
      </c>
      <c r="AH491" s="43">
        <f>IFERROR(HLOOKUP(Esiehdot!$B$17,Käyttötapauskriteerit!G$1:P223,491,0),1)</f>
        <v>1</v>
      </c>
      <c r="AI491" s="43">
        <f t="shared" si="67"/>
        <v>0</v>
      </c>
      <c r="AJ491" s="43">
        <f t="shared" si="68"/>
        <v>0</v>
      </c>
      <c r="AK491" s="43">
        <f t="shared" si="69"/>
        <v>0</v>
      </c>
      <c r="AL491" s="43">
        <f t="shared" si="70"/>
        <v>0</v>
      </c>
      <c r="AM491" s="43"/>
      <c r="AN491" s="45" t="str">
        <f t="shared" si="71"/>
        <v/>
      </c>
    </row>
    <row r="492" spans="1:40" ht="15.6">
      <c r="A492" s="5"/>
      <c r="B492" s="5"/>
      <c r="E492" s="17"/>
      <c r="F492" s="17"/>
      <c r="G492" s="17"/>
      <c r="H492" s="17"/>
      <c r="I492" s="17"/>
      <c r="J492" s="17"/>
      <c r="K492" s="17"/>
      <c r="L492" s="32"/>
      <c r="M492" s="61"/>
      <c r="N492" s="23"/>
      <c r="O492" s="23"/>
      <c r="P492" s="9"/>
      <c r="Q492" s="9"/>
      <c r="R492" s="9"/>
      <c r="S492" s="9"/>
      <c r="U492" s="42" t="str">
        <f t="shared" si="63"/>
        <v>, L:, E:, S:, TS:</v>
      </c>
      <c r="V492" s="42" t="str">
        <f t="shared" si="64"/>
        <v/>
      </c>
      <c r="W492" s="43">
        <f>IFERROR(VLOOKUP(A492,Esiehdot!A$11:D$15,4,0), 0)</f>
        <v>0</v>
      </c>
      <c r="X492" s="44">
        <f>IF(Esiehdot!D$4&gt;=IFERROR(VLOOKUP(E492,Valintalistat!D$2:H$7,5,0), 99),1,0)</f>
        <v>0</v>
      </c>
      <c r="Y492" s="44">
        <f>IF(Esiehdot!D$5&gt;=IFERROR(VLOOKUP(F492,Valintalistat!E$2:H$5,4,0), 99),1,0)</f>
        <v>0</v>
      </c>
      <c r="Z492" s="44">
        <f>IF(Esiehdot!D$6&gt;=IFERROR(VLOOKUP(G492,Valintalistat!F$2:H$5,3,0),99),1,0)</f>
        <v>0</v>
      </c>
      <c r="AA492" s="44">
        <f>IF(Esiehdot!D$8&gt;=IFERROR(VLOOKUP(H492,Valintalistat!G$2:H$5,2,0),99),1,0)</f>
        <v>0</v>
      </c>
      <c r="AB492" s="43">
        <f t="shared" si="65"/>
        <v>0</v>
      </c>
      <c r="AC492" s="44">
        <f>IF(Esiehdot!E$4=IFERROR(VLOOKUP(E492,Valintalistat!D$2:H$7,5,0),99),1,0)</f>
        <v>0</v>
      </c>
      <c r="AD492" s="44">
        <f>IF(Esiehdot!E$5=IFERROR(VLOOKUP(F492,Valintalistat!E$2:H$5,4,0),99),1,0)</f>
        <v>0</v>
      </c>
      <c r="AE492" s="44">
        <f>IF(Esiehdot!E$6=IFERROR(VLOOKUP(G492,Valintalistat!F$2:H$5,3,0),99),1,0)</f>
        <v>0</v>
      </c>
      <c r="AF492" s="44">
        <f>IF(Esiehdot!E$8=IFERROR(VLOOKUP(H492,Valintalistat!G$2:H$3,2,0),98),1,0)</f>
        <v>0</v>
      </c>
      <c r="AG492" s="43">
        <f t="shared" si="66"/>
        <v>0</v>
      </c>
      <c r="AH492" s="43">
        <f>IFERROR(HLOOKUP(Esiehdot!$B$17,Käyttötapauskriteerit!G$1:P223,492,0),1)</f>
        <v>1</v>
      </c>
      <c r="AI492" s="43">
        <f t="shared" si="67"/>
        <v>0</v>
      </c>
      <c r="AJ492" s="43">
        <f t="shared" si="68"/>
        <v>0</v>
      </c>
      <c r="AK492" s="43">
        <f t="shared" si="69"/>
        <v>0</v>
      </c>
      <c r="AL492" s="43">
        <f t="shared" si="70"/>
        <v>0</v>
      </c>
      <c r="AM492" s="43"/>
      <c r="AN492" s="45" t="str">
        <f t="shared" si="71"/>
        <v/>
      </c>
    </row>
    <row r="493" spans="1:40" ht="15.6">
      <c r="A493" s="5"/>
      <c r="B493" s="5"/>
      <c r="E493" s="17"/>
      <c r="F493" s="17"/>
      <c r="G493" s="17"/>
      <c r="H493" s="17"/>
      <c r="I493" s="17"/>
      <c r="J493" s="17"/>
      <c r="K493" s="17"/>
      <c r="L493" s="32"/>
      <c r="M493" s="61"/>
      <c r="N493" s="23"/>
      <c r="O493" s="23"/>
      <c r="P493" s="9"/>
      <c r="Q493" s="9"/>
      <c r="R493" s="9"/>
      <c r="S493" s="9"/>
      <c r="U493" s="42" t="str">
        <f t="shared" si="63"/>
        <v>, L:, E:, S:, TS:</v>
      </c>
      <c r="V493" s="42" t="str">
        <f t="shared" si="64"/>
        <v/>
      </c>
      <c r="W493" s="43">
        <f>IFERROR(VLOOKUP(A493,Esiehdot!A$11:D$15,4,0), 0)</f>
        <v>0</v>
      </c>
      <c r="X493" s="44">
        <f>IF(Esiehdot!D$4&gt;=IFERROR(VLOOKUP(E493,Valintalistat!D$2:H$7,5,0), 99),1,0)</f>
        <v>0</v>
      </c>
      <c r="Y493" s="44">
        <f>IF(Esiehdot!D$5&gt;=IFERROR(VLOOKUP(F493,Valintalistat!E$2:H$5,4,0), 99),1,0)</f>
        <v>0</v>
      </c>
      <c r="Z493" s="44">
        <f>IF(Esiehdot!D$6&gt;=IFERROR(VLOOKUP(G493,Valintalistat!F$2:H$5,3,0),99),1,0)</f>
        <v>0</v>
      </c>
      <c r="AA493" s="44">
        <f>IF(Esiehdot!D$8&gt;=IFERROR(VLOOKUP(H493,Valintalistat!G$2:H$5,2,0),99),1,0)</f>
        <v>0</v>
      </c>
      <c r="AB493" s="43">
        <f t="shared" si="65"/>
        <v>0</v>
      </c>
      <c r="AC493" s="44">
        <f>IF(Esiehdot!E$4=IFERROR(VLOOKUP(E493,Valintalistat!D$2:H$7,5,0),99),1,0)</f>
        <v>0</v>
      </c>
      <c r="AD493" s="44">
        <f>IF(Esiehdot!E$5=IFERROR(VLOOKUP(F493,Valintalistat!E$2:H$5,4,0),99),1,0)</f>
        <v>0</v>
      </c>
      <c r="AE493" s="44">
        <f>IF(Esiehdot!E$6=IFERROR(VLOOKUP(G493,Valintalistat!F$2:H$5,3,0),99),1,0)</f>
        <v>0</v>
      </c>
      <c r="AF493" s="44">
        <f>IF(Esiehdot!E$8=IFERROR(VLOOKUP(H493,Valintalistat!G$2:H$3,2,0),98),1,0)</f>
        <v>0</v>
      </c>
      <c r="AG493" s="43">
        <f t="shared" si="66"/>
        <v>0</v>
      </c>
      <c r="AH493" s="43">
        <f>IFERROR(HLOOKUP(Esiehdot!$B$17,Käyttötapauskriteerit!G$1:P223,493,0),1)</f>
        <v>1</v>
      </c>
      <c r="AI493" s="43">
        <f t="shared" si="67"/>
        <v>0</v>
      </c>
      <c r="AJ493" s="43">
        <f t="shared" si="68"/>
        <v>0</v>
      </c>
      <c r="AK493" s="43">
        <f t="shared" si="69"/>
        <v>0</v>
      </c>
      <c r="AL493" s="43">
        <f t="shared" si="70"/>
        <v>0</v>
      </c>
      <c r="AM493" s="43"/>
      <c r="AN493" s="45" t="str">
        <f t="shared" si="71"/>
        <v/>
      </c>
    </row>
    <row r="494" spans="1:40" ht="15.6">
      <c r="A494" s="5"/>
      <c r="B494" s="5"/>
      <c r="E494" s="17"/>
      <c r="F494" s="17"/>
      <c r="G494" s="17"/>
      <c r="H494" s="17"/>
      <c r="I494" s="17"/>
      <c r="J494" s="17"/>
      <c r="K494" s="17"/>
      <c r="L494" s="32"/>
      <c r="M494" s="61"/>
      <c r="N494" s="23"/>
      <c r="O494" s="23"/>
      <c r="P494" s="9"/>
      <c r="Q494" s="9"/>
      <c r="R494" s="9"/>
      <c r="S494" s="9"/>
      <c r="U494" s="42" t="str">
        <f t="shared" si="63"/>
        <v>, L:, E:, S:, TS:</v>
      </c>
      <c r="V494" s="42" t="str">
        <f t="shared" si="64"/>
        <v/>
      </c>
      <c r="W494" s="43">
        <f>IFERROR(VLOOKUP(A494,Esiehdot!A$11:D$15,4,0), 0)</f>
        <v>0</v>
      </c>
      <c r="X494" s="44">
        <f>IF(Esiehdot!D$4&gt;=IFERROR(VLOOKUP(E494,Valintalistat!D$2:H$7,5,0), 99),1,0)</f>
        <v>0</v>
      </c>
      <c r="Y494" s="44">
        <f>IF(Esiehdot!D$5&gt;=IFERROR(VLOOKUP(F494,Valintalistat!E$2:H$5,4,0), 99),1,0)</f>
        <v>0</v>
      </c>
      <c r="Z494" s="44">
        <f>IF(Esiehdot!D$6&gt;=IFERROR(VLOOKUP(G494,Valintalistat!F$2:H$5,3,0),99),1,0)</f>
        <v>0</v>
      </c>
      <c r="AA494" s="44">
        <f>IF(Esiehdot!D$8&gt;=IFERROR(VLOOKUP(H494,Valintalistat!G$2:H$5,2,0),99),1,0)</f>
        <v>0</v>
      </c>
      <c r="AB494" s="43">
        <f t="shared" si="65"/>
        <v>0</v>
      </c>
      <c r="AC494" s="44">
        <f>IF(Esiehdot!E$4=IFERROR(VLOOKUP(E494,Valintalistat!D$2:H$7,5,0),99),1,0)</f>
        <v>0</v>
      </c>
      <c r="AD494" s="44">
        <f>IF(Esiehdot!E$5=IFERROR(VLOOKUP(F494,Valintalistat!E$2:H$5,4,0),99),1,0)</f>
        <v>0</v>
      </c>
      <c r="AE494" s="44">
        <f>IF(Esiehdot!E$6=IFERROR(VLOOKUP(G494,Valintalistat!F$2:H$5,3,0),99),1,0)</f>
        <v>0</v>
      </c>
      <c r="AF494" s="44">
        <f>IF(Esiehdot!E$8=IFERROR(VLOOKUP(H494,Valintalistat!G$2:H$3,2,0),98),1,0)</f>
        <v>0</v>
      </c>
      <c r="AG494" s="43">
        <f t="shared" si="66"/>
        <v>0</v>
      </c>
      <c r="AH494" s="43">
        <f>IFERROR(HLOOKUP(Esiehdot!$B$17,Käyttötapauskriteerit!G$1:P223,494,0),1)</f>
        <v>1</v>
      </c>
      <c r="AI494" s="43">
        <f t="shared" si="67"/>
        <v>0</v>
      </c>
      <c r="AJ494" s="43">
        <f t="shared" si="68"/>
        <v>0</v>
      </c>
      <c r="AK494" s="43">
        <f t="shared" si="69"/>
        <v>0</v>
      </c>
      <c r="AL494" s="43">
        <f t="shared" si="70"/>
        <v>0</v>
      </c>
      <c r="AM494" s="43"/>
      <c r="AN494" s="45" t="str">
        <f t="shared" si="71"/>
        <v/>
      </c>
    </row>
    <row r="495" spans="1:40" ht="15.6">
      <c r="A495" s="5"/>
      <c r="B495" s="5"/>
      <c r="E495" s="17"/>
      <c r="F495" s="17"/>
      <c r="G495" s="17"/>
      <c r="H495" s="17"/>
      <c r="I495" s="17"/>
      <c r="J495" s="17"/>
      <c r="K495" s="17"/>
      <c r="L495" s="32"/>
      <c r="M495" s="61"/>
      <c r="N495" s="23"/>
      <c r="O495" s="23"/>
      <c r="P495" s="9"/>
      <c r="Q495" s="9"/>
      <c r="R495" s="9"/>
      <c r="S495" s="9"/>
      <c r="U495" s="42" t="str">
        <f t="shared" si="63"/>
        <v>, L:, E:, S:, TS:</v>
      </c>
      <c r="V495" s="42" t="str">
        <f t="shared" si="64"/>
        <v/>
      </c>
      <c r="W495" s="43">
        <f>IFERROR(VLOOKUP(A495,Esiehdot!A$11:D$15,4,0), 0)</f>
        <v>0</v>
      </c>
      <c r="X495" s="44">
        <f>IF(Esiehdot!D$4&gt;=IFERROR(VLOOKUP(E495,Valintalistat!D$2:H$7,5,0), 99),1,0)</f>
        <v>0</v>
      </c>
      <c r="Y495" s="44">
        <f>IF(Esiehdot!D$5&gt;=IFERROR(VLOOKUP(F495,Valintalistat!E$2:H$5,4,0), 99),1,0)</f>
        <v>0</v>
      </c>
      <c r="Z495" s="44">
        <f>IF(Esiehdot!D$6&gt;=IFERROR(VLOOKUP(G495,Valintalistat!F$2:H$5,3,0),99),1,0)</f>
        <v>0</v>
      </c>
      <c r="AA495" s="44">
        <f>IF(Esiehdot!D$8&gt;=IFERROR(VLOOKUP(H495,Valintalistat!G$2:H$5,2,0),99),1,0)</f>
        <v>0</v>
      </c>
      <c r="AB495" s="43">
        <f t="shared" si="65"/>
        <v>0</v>
      </c>
      <c r="AC495" s="44">
        <f>IF(Esiehdot!E$4=IFERROR(VLOOKUP(E495,Valintalistat!D$2:H$7,5,0),99),1,0)</f>
        <v>0</v>
      </c>
      <c r="AD495" s="44">
        <f>IF(Esiehdot!E$5=IFERROR(VLOOKUP(F495,Valintalistat!E$2:H$5,4,0),99),1,0)</f>
        <v>0</v>
      </c>
      <c r="AE495" s="44">
        <f>IF(Esiehdot!E$6=IFERROR(VLOOKUP(G495,Valintalistat!F$2:H$5,3,0),99),1,0)</f>
        <v>0</v>
      </c>
      <c r="AF495" s="44">
        <f>IF(Esiehdot!E$8=IFERROR(VLOOKUP(H495,Valintalistat!G$2:H$3,2,0),98),1,0)</f>
        <v>0</v>
      </c>
      <c r="AG495" s="43">
        <f t="shared" si="66"/>
        <v>0</v>
      </c>
      <c r="AH495" s="43">
        <f>IFERROR(HLOOKUP(Esiehdot!$B$17,Käyttötapauskriteerit!G$1:P223,495,0),1)</f>
        <v>1</v>
      </c>
      <c r="AI495" s="43">
        <f t="shared" si="67"/>
        <v>0</v>
      </c>
      <c r="AJ495" s="43">
        <f t="shared" si="68"/>
        <v>0</v>
      </c>
      <c r="AK495" s="43">
        <f t="shared" si="69"/>
        <v>0</v>
      </c>
      <c r="AL495" s="43">
        <f t="shared" si="70"/>
        <v>0</v>
      </c>
      <c r="AM495" s="43"/>
      <c r="AN495" s="45" t="str">
        <f t="shared" si="71"/>
        <v/>
      </c>
    </row>
    <row r="496" spans="1:40" ht="15.6">
      <c r="A496" s="5"/>
      <c r="B496" s="5"/>
      <c r="E496" s="17"/>
      <c r="F496" s="17"/>
      <c r="G496" s="17"/>
      <c r="H496" s="17"/>
      <c r="I496" s="17"/>
      <c r="J496" s="17"/>
      <c r="K496" s="17"/>
      <c r="L496" s="32"/>
      <c r="M496" s="61"/>
      <c r="N496" s="23"/>
      <c r="O496" s="23"/>
      <c r="P496" s="9"/>
      <c r="Q496" s="9"/>
      <c r="R496" s="9"/>
      <c r="S496" s="9"/>
      <c r="U496" s="42" t="str">
        <f t="shared" si="63"/>
        <v>, L:, E:, S:, TS:</v>
      </c>
      <c r="V496" s="42" t="str">
        <f t="shared" si="64"/>
        <v/>
      </c>
      <c r="W496" s="43">
        <f>IFERROR(VLOOKUP(A496,Esiehdot!A$11:D$15,4,0), 0)</f>
        <v>0</v>
      </c>
      <c r="X496" s="44">
        <f>IF(Esiehdot!D$4&gt;=IFERROR(VLOOKUP(E496,Valintalistat!D$2:H$7,5,0), 99),1,0)</f>
        <v>0</v>
      </c>
      <c r="Y496" s="44">
        <f>IF(Esiehdot!D$5&gt;=IFERROR(VLOOKUP(F496,Valintalistat!E$2:H$5,4,0), 99),1,0)</f>
        <v>0</v>
      </c>
      <c r="Z496" s="44">
        <f>IF(Esiehdot!D$6&gt;=IFERROR(VLOOKUP(G496,Valintalistat!F$2:H$5,3,0),99),1,0)</f>
        <v>0</v>
      </c>
      <c r="AA496" s="44">
        <f>IF(Esiehdot!D$8&gt;=IFERROR(VLOOKUP(H496,Valintalistat!G$2:H$5,2,0),99),1,0)</f>
        <v>0</v>
      </c>
      <c r="AB496" s="43">
        <f t="shared" si="65"/>
        <v>0</v>
      </c>
      <c r="AC496" s="44">
        <f>IF(Esiehdot!E$4=IFERROR(VLOOKUP(E496,Valintalistat!D$2:H$7,5,0),99),1,0)</f>
        <v>0</v>
      </c>
      <c r="AD496" s="44">
        <f>IF(Esiehdot!E$5=IFERROR(VLOOKUP(F496,Valintalistat!E$2:H$5,4,0),99),1,0)</f>
        <v>0</v>
      </c>
      <c r="AE496" s="44">
        <f>IF(Esiehdot!E$6=IFERROR(VLOOKUP(G496,Valintalistat!F$2:H$5,3,0),99),1,0)</f>
        <v>0</v>
      </c>
      <c r="AF496" s="44">
        <f>IF(Esiehdot!E$8=IFERROR(VLOOKUP(H496,Valintalistat!G$2:H$3,2,0),98),1,0)</f>
        <v>0</v>
      </c>
      <c r="AG496" s="43">
        <f t="shared" si="66"/>
        <v>0</v>
      </c>
      <c r="AH496" s="43">
        <f>IFERROR(HLOOKUP(Esiehdot!$B$17,Käyttötapauskriteerit!G$1:P223,496,0),1)</f>
        <v>1</v>
      </c>
      <c r="AI496" s="43">
        <f t="shared" si="67"/>
        <v>0</v>
      </c>
      <c r="AJ496" s="43">
        <f t="shared" si="68"/>
        <v>0</v>
      </c>
      <c r="AK496" s="43">
        <f t="shared" si="69"/>
        <v>0</v>
      </c>
      <c r="AL496" s="43">
        <f t="shared" si="70"/>
        <v>0</v>
      </c>
      <c r="AM496" s="43"/>
      <c r="AN496" s="45" t="str">
        <f t="shared" si="71"/>
        <v/>
      </c>
    </row>
    <row r="497" spans="1:40" ht="15.6">
      <c r="A497" s="5"/>
      <c r="B497" s="5"/>
      <c r="E497" s="17"/>
      <c r="F497" s="17"/>
      <c r="G497" s="17"/>
      <c r="H497" s="17"/>
      <c r="I497" s="17"/>
      <c r="J497" s="17"/>
      <c r="K497" s="17"/>
      <c r="L497" s="32"/>
      <c r="M497" s="61"/>
      <c r="N497" s="23"/>
      <c r="O497" s="23"/>
      <c r="P497" s="9"/>
      <c r="Q497" s="9"/>
      <c r="R497" s="9"/>
      <c r="S497" s="9"/>
      <c r="U497" s="42" t="str">
        <f t="shared" si="63"/>
        <v>, L:, E:, S:, TS:</v>
      </c>
      <c r="V497" s="42" t="str">
        <f t="shared" si="64"/>
        <v/>
      </c>
      <c r="W497" s="43">
        <f>IFERROR(VLOOKUP(A497,Esiehdot!A$11:D$15,4,0), 0)</f>
        <v>0</v>
      </c>
      <c r="X497" s="44">
        <f>IF(Esiehdot!D$4&gt;=IFERROR(VLOOKUP(E497,Valintalistat!D$2:H$7,5,0), 99),1,0)</f>
        <v>0</v>
      </c>
      <c r="Y497" s="44">
        <f>IF(Esiehdot!D$5&gt;=IFERROR(VLOOKUP(F497,Valintalistat!E$2:H$5,4,0), 99),1,0)</f>
        <v>0</v>
      </c>
      <c r="Z497" s="44">
        <f>IF(Esiehdot!D$6&gt;=IFERROR(VLOOKUP(G497,Valintalistat!F$2:H$5,3,0),99),1,0)</f>
        <v>0</v>
      </c>
      <c r="AA497" s="44">
        <f>IF(Esiehdot!D$8&gt;=IFERROR(VLOOKUP(H497,Valintalistat!G$2:H$5,2,0),99),1,0)</f>
        <v>0</v>
      </c>
      <c r="AB497" s="43">
        <f t="shared" si="65"/>
        <v>0</v>
      </c>
      <c r="AC497" s="44">
        <f>IF(Esiehdot!E$4=IFERROR(VLOOKUP(E497,Valintalistat!D$2:H$7,5,0),99),1,0)</f>
        <v>0</v>
      </c>
      <c r="AD497" s="44">
        <f>IF(Esiehdot!E$5=IFERROR(VLOOKUP(F497,Valintalistat!E$2:H$5,4,0),99),1,0)</f>
        <v>0</v>
      </c>
      <c r="AE497" s="44">
        <f>IF(Esiehdot!E$6=IFERROR(VLOOKUP(G497,Valintalistat!F$2:H$5,3,0),99),1,0)</f>
        <v>0</v>
      </c>
      <c r="AF497" s="44">
        <f>IF(Esiehdot!E$8=IFERROR(VLOOKUP(H497,Valintalistat!G$2:H$3,2,0),98),1,0)</f>
        <v>0</v>
      </c>
      <c r="AG497" s="43">
        <f t="shared" si="66"/>
        <v>0</v>
      </c>
      <c r="AH497" s="43">
        <f>IFERROR(HLOOKUP(Esiehdot!$B$17,Käyttötapauskriteerit!G$1:P223,497,0),1)</f>
        <v>1</v>
      </c>
      <c r="AI497" s="43">
        <f t="shared" si="67"/>
        <v>0</v>
      </c>
      <c r="AJ497" s="43">
        <f t="shared" si="68"/>
        <v>0</v>
      </c>
      <c r="AK497" s="43">
        <f t="shared" si="69"/>
        <v>0</v>
      </c>
      <c r="AL497" s="43">
        <f t="shared" si="70"/>
        <v>0</v>
      </c>
      <c r="AM497" s="43"/>
      <c r="AN497" s="45" t="str">
        <f t="shared" si="71"/>
        <v/>
      </c>
    </row>
    <row r="498" spans="1:40" ht="15.6">
      <c r="A498" s="5"/>
      <c r="B498" s="5"/>
      <c r="E498" s="17"/>
      <c r="F498" s="17"/>
      <c r="G498" s="17"/>
      <c r="H498" s="17"/>
      <c r="I498" s="17"/>
      <c r="J498" s="17"/>
      <c r="K498" s="17"/>
      <c r="L498" s="32"/>
      <c r="M498" s="61"/>
      <c r="N498" s="23"/>
      <c r="O498" s="23"/>
      <c r="P498" s="9"/>
      <c r="Q498" s="9"/>
      <c r="R498" s="9"/>
      <c r="S498" s="9"/>
      <c r="U498" s="42" t="str">
        <f t="shared" si="63"/>
        <v>, L:, E:, S:, TS:</v>
      </c>
      <c r="V498" s="42" t="str">
        <f t="shared" si="64"/>
        <v/>
      </c>
      <c r="W498" s="43">
        <f>IFERROR(VLOOKUP(A498,Esiehdot!A$11:D$15,4,0), 0)</f>
        <v>0</v>
      </c>
      <c r="X498" s="44">
        <f>IF(Esiehdot!D$4&gt;=IFERROR(VLOOKUP(E498,Valintalistat!D$2:H$7,5,0), 99),1,0)</f>
        <v>0</v>
      </c>
      <c r="Y498" s="44">
        <f>IF(Esiehdot!D$5&gt;=IFERROR(VLOOKUP(F498,Valintalistat!E$2:H$5,4,0), 99),1,0)</f>
        <v>0</v>
      </c>
      <c r="Z498" s="44">
        <f>IF(Esiehdot!D$6&gt;=IFERROR(VLOOKUP(G498,Valintalistat!F$2:H$5,3,0),99),1,0)</f>
        <v>0</v>
      </c>
      <c r="AA498" s="44">
        <f>IF(Esiehdot!D$8&gt;=IFERROR(VLOOKUP(H498,Valintalistat!G$2:H$5,2,0),99),1,0)</f>
        <v>0</v>
      </c>
      <c r="AB498" s="43">
        <f t="shared" si="65"/>
        <v>0</v>
      </c>
      <c r="AC498" s="44">
        <f>IF(Esiehdot!E$4=IFERROR(VLOOKUP(E498,Valintalistat!D$2:H$7,5,0),99),1,0)</f>
        <v>0</v>
      </c>
      <c r="AD498" s="44">
        <f>IF(Esiehdot!E$5=IFERROR(VLOOKUP(F498,Valintalistat!E$2:H$5,4,0),99),1,0)</f>
        <v>0</v>
      </c>
      <c r="AE498" s="44">
        <f>IF(Esiehdot!E$6=IFERROR(VLOOKUP(G498,Valintalistat!F$2:H$5,3,0),99),1,0)</f>
        <v>0</v>
      </c>
      <c r="AF498" s="44">
        <f>IF(Esiehdot!E$8=IFERROR(VLOOKUP(H498,Valintalistat!G$2:H$3,2,0),98),1,0)</f>
        <v>0</v>
      </c>
      <c r="AG498" s="43">
        <f t="shared" si="66"/>
        <v>0</v>
      </c>
      <c r="AH498" s="43">
        <f>IFERROR(HLOOKUP(Esiehdot!$B$17,Käyttötapauskriteerit!G$1:P223,498,0),1)</f>
        <v>1</v>
      </c>
      <c r="AI498" s="43">
        <f t="shared" si="67"/>
        <v>0</v>
      </c>
      <c r="AJ498" s="43">
        <f t="shared" si="68"/>
        <v>0</v>
      </c>
      <c r="AK498" s="43">
        <f t="shared" si="69"/>
        <v>0</v>
      </c>
      <c r="AL498" s="43">
        <f t="shared" si="70"/>
        <v>0</v>
      </c>
      <c r="AM498" s="43"/>
      <c r="AN498" s="45" t="str">
        <f t="shared" si="71"/>
        <v/>
      </c>
    </row>
    <row r="499" spans="1:40" ht="15.6">
      <c r="A499" s="5"/>
      <c r="B499" s="5"/>
      <c r="E499" s="17"/>
      <c r="F499" s="17"/>
      <c r="G499" s="17"/>
      <c r="H499" s="17"/>
      <c r="I499" s="17"/>
      <c r="J499" s="17"/>
      <c r="K499" s="17"/>
      <c r="L499" s="32"/>
      <c r="M499" s="61"/>
      <c r="N499" s="23"/>
      <c r="O499" s="23"/>
      <c r="P499" s="9"/>
      <c r="Q499" s="9"/>
      <c r="R499" s="9"/>
      <c r="S499" s="9"/>
      <c r="U499" s="42" t="str">
        <f t="shared" si="63"/>
        <v>, L:, E:, S:, TS:</v>
      </c>
      <c r="V499" s="42" t="str">
        <f t="shared" si="64"/>
        <v/>
      </c>
      <c r="W499" s="43">
        <f>IFERROR(VLOOKUP(A499,Esiehdot!A$11:D$15,4,0), 0)</f>
        <v>0</v>
      </c>
      <c r="X499" s="44">
        <f>IF(Esiehdot!D$4&gt;=IFERROR(VLOOKUP(E499,Valintalistat!D$2:H$7,5,0), 99),1,0)</f>
        <v>0</v>
      </c>
      <c r="Y499" s="44">
        <f>IF(Esiehdot!D$5&gt;=IFERROR(VLOOKUP(F499,Valintalistat!E$2:H$5,4,0), 99),1,0)</f>
        <v>0</v>
      </c>
      <c r="Z499" s="44">
        <f>IF(Esiehdot!D$6&gt;=IFERROR(VLOOKUP(G499,Valintalistat!F$2:H$5,3,0),99),1,0)</f>
        <v>0</v>
      </c>
      <c r="AA499" s="44">
        <f>IF(Esiehdot!D$8&gt;=IFERROR(VLOOKUP(H499,Valintalistat!G$2:H$5,2,0),99),1,0)</f>
        <v>0</v>
      </c>
      <c r="AB499" s="43">
        <f t="shared" si="65"/>
        <v>0</v>
      </c>
      <c r="AC499" s="44">
        <f>IF(Esiehdot!E$4=IFERROR(VLOOKUP(E499,Valintalistat!D$2:H$7,5,0),99),1,0)</f>
        <v>0</v>
      </c>
      <c r="AD499" s="44">
        <f>IF(Esiehdot!E$5=IFERROR(VLOOKUP(F499,Valintalistat!E$2:H$5,4,0),99),1,0)</f>
        <v>0</v>
      </c>
      <c r="AE499" s="44">
        <f>IF(Esiehdot!E$6=IFERROR(VLOOKUP(G499,Valintalistat!F$2:H$5,3,0),99),1,0)</f>
        <v>0</v>
      </c>
      <c r="AF499" s="44">
        <f>IF(Esiehdot!E$8=IFERROR(VLOOKUP(H499,Valintalistat!G$2:H$3,2,0),98),1,0)</f>
        <v>0</v>
      </c>
      <c r="AG499" s="43">
        <f t="shared" si="66"/>
        <v>0</v>
      </c>
      <c r="AH499" s="43">
        <f>IFERROR(HLOOKUP(Esiehdot!$B$17,Käyttötapauskriteerit!G$1:P223,499,0),1)</f>
        <v>1</v>
      </c>
      <c r="AI499" s="43">
        <f t="shared" si="67"/>
        <v>0</v>
      </c>
      <c r="AJ499" s="43">
        <f t="shared" si="68"/>
        <v>0</v>
      </c>
      <c r="AK499" s="43">
        <f t="shared" si="69"/>
        <v>0</v>
      </c>
      <c r="AL499" s="43">
        <f t="shared" si="70"/>
        <v>0</v>
      </c>
      <c r="AM499" s="43"/>
      <c r="AN499" s="45" t="str">
        <f t="shared" si="71"/>
        <v/>
      </c>
    </row>
    <row r="500" spans="1:40" ht="15.6">
      <c r="A500" s="5"/>
      <c r="B500" s="5"/>
      <c r="E500" s="17"/>
      <c r="F500" s="17"/>
      <c r="G500" s="17"/>
      <c r="H500" s="17"/>
      <c r="I500" s="17"/>
      <c r="J500" s="17"/>
      <c r="K500" s="17"/>
      <c r="L500" s="32"/>
      <c r="M500" s="61"/>
      <c r="N500" s="23"/>
      <c r="O500" s="23"/>
      <c r="P500" s="9"/>
      <c r="Q500" s="9"/>
      <c r="R500" s="9"/>
      <c r="S500" s="9"/>
      <c r="U500" s="42" t="str">
        <f t="shared" si="63"/>
        <v>, L:, E:, S:, TS:</v>
      </c>
      <c r="V500" s="42" t="str">
        <f t="shared" si="64"/>
        <v/>
      </c>
      <c r="W500" s="43">
        <f>IFERROR(VLOOKUP(A500,Esiehdot!A$11:D$15,4,0), 0)</f>
        <v>0</v>
      </c>
      <c r="X500" s="44">
        <f>IF(Esiehdot!D$4&gt;=IFERROR(VLOOKUP(E500,Valintalistat!D$2:H$7,5,0), 99),1,0)</f>
        <v>0</v>
      </c>
      <c r="Y500" s="44">
        <f>IF(Esiehdot!D$5&gt;=IFERROR(VLOOKUP(F500,Valintalistat!E$2:H$5,4,0), 99),1,0)</f>
        <v>0</v>
      </c>
      <c r="Z500" s="44">
        <f>IF(Esiehdot!D$6&gt;=IFERROR(VLOOKUP(G500,Valintalistat!F$2:H$5,3,0),99),1,0)</f>
        <v>0</v>
      </c>
      <c r="AA500" s="44">
        <f>IF(Esiehdot!D$8&gt;=IFERROR(VLOOKUP(H500,Valintalistat!G$2:H$5,2,0),99),1,0)</f>
        <v>0</v>
      </c>
      <c r="AB500" s="43">
        <f t="shared" si="65"/>
        <v>0</v>
      </c>
      <c r="AC500" s="44">
        <f>IF(Esiehdot!E$4=IFERROR(VLOOKUP(E500,Valintalistat!D$2:H$7,5,0),99),1,0)</f>
        <v>0</v>
      </c>
      <c r="AD500" s="44">
        <f>IF(Esiehdot!E$5=IFERROR(VLOOKUP(F500,Valintalistat!E$2:H$5,4,0),99),1,0)</f>
        <v>0</v>
      </c>
      <c r="AE500" s="44">
        <f>IF(Esiehdot!E$6=IFERROR(VLOOKUP(G500,Valintalistat!F$2:H$5,3,0),99),1,0)</f>
        <v>0</v>
      </c>
      <c r="AF500" s="44">
        <f>IF(Esiehdot!E$8=IFERROR(VLOOKUP(H500,Valintalistat!G$2:H$3,2,0),98),1,0)</f>
        <v>0</v>
      </c>
      <c r="AG500" s="43">
        <f t="shared" si="66"/>
        <v>0</v>
      </c>
      <c r="AH500" s="43">
        <f>IFERROR(HLOOKUP(Esiehdot!$B$17,Käyttötapauskriteerit!G$1:P223,500,0),1)</f>
        <v>1</v>
      </c>
      <c r="AI500" s="43">
        <f t="shared" si="67"/>
        <v>0</v>
      </c>
      <c r="AJ500" s="43">
        <f t="shared" si="68"/>
        <v>0</v>
      </c>
      <c r="AK500" s="43">
        <f t="shared" si="69"/>
        <v>0</v>
      </c>
      <c r="AL500" s="43">
        <f t="shared" si="70"/>
        <v>0</v>
      </c>
      <c r="AM500" s="43"/>
      <c r="AN500" s="45" t="str">
        <f t="shared" si="71"/>
        <v/>
      </c>
    </row>
    <row r="501" spans="1:40" ht="15.6">
      <c r="A501" s="5"/>
      <c r="B501" s="5"/>
      <c r="E501" s="17"/>
      <c r="F501" s="17"/>
      <c r="G501" s="17"/>
      <c r="H501" s="17"/>
      <c r="I501" s="17"/>
      <c r="J501" s="17"/>
      <c r="K501" s="17"/>
      <c r="L501" s="32"/>
      <c r="M501" s="61"/>
      <c r="N501" s="23"/>
      <c r="O501" s="23"/>
      <c r="P501" s="9"/>
      <c r="Q501" s="9"/>
      <c r="R501" s="9"/>
      <c r="S501" s="9"/>
      <c r="U501" s="42" t="str">
        <f t="shared" si="63"/>
        <v>, L:, E:, S:, TS:</v>
      </c>
      <c r="V501" s="42" t="str">
        <f t="shared" si="64"/>
        <v/>
      </c>
      <c r="W501" s="43">
        <f>IFERROR(VLOOKUP(A501,Esiehdot!A$11:D$15,4,0), 0)</f>
        <v>0</v>
      </c>
      <c r="X501" s="44">
        <f>IF(Esiehdot!D$4&gt;=IFERROR(VLOOKUP(E501,Valintalistat!D$2:H$7,5,0), 99),1,0)</f>
        <v>0</v>
      </c>
      <c r="Y501" s="44">
        <f>IF(Esiehdot!D$5&gt;=IFERROR(VLOOKUP(F501,Valintalistat!E$2:H$5,4,0), 99),1,0)</f>
        <v>0</v>
      </c>
      <c r="Z501" s="44">
        <f>IF(Esiehdot!D$6&gt;=IFERROR(VLOOKUP(G501,Valintalistat!F$2:H$5,3,0),99),1,0)</f>
        <v>0</v>
      </c>
      <c r="AA501" s="44">
        <f>IF(Esiehdot!D$8&gt;=IFERROR(VLOOKUP(H501,Valintalistat!G$2:H$5,2,0),99),1,0)</f>
        <v>0</v>
      </c>
      <c r="AB501" s="43">
        <f t="shared" si="65"/>
        <v>0</v>
      </c>
      <c r="AC501" s="44">
        <f>IF(Esiehdot!E$4=IFERROR(VLOOKUP(E501,Valintalistat!D$2:H$7,5,0),99),1,0)</f>
        <v>0</v>
      </c>
      <c r="AD501" s="44">
        <f>IF(Esiehdot!E$5=IFERROR(VLOOKUP(F501,Valintalistat!E$2:H$5,4,0),99),1,0)</f>
        <v>0</v>
      </c>
      <c r="AE501" s="44">
        <f>IF(Esiehdot!E$6=IFERROR(VLOOKUP(G501,Valintalistat!F$2:H$5,3,0),99),1,0)</f>
        <v>0</v>
      </c>
      <c r="AF501" s="44">
        <f>IF(Esiehdot!E$8=IFERROR(VLOOKUP(H501,Valintalistat!G$2:H$3,2,0),98),1,0)</f>
        <v>0</v>
      </c>
      <c r="AG501" s="43">
        <f t="shared" si="66"/>
        <v>0</v>
      </c>
      <c r="AH501" s="43">
        <f>IFERROR(HLOOKUP(Esiehdot!$B$17,Käyttötapauskriteerit!G$1:P223,501,0),1)</f>
        <v>1</v>
      </c>
      <c r="AI501" s="43">
        <f t="shared" si="67"/>
        <v>0</v>
      </c>
      <c r="AJ501" s="43">
        <f t="shared" si="68"/>
        <v>0</v>
      </c>
      <c r="AK501" s="43">
        <f t="shared" si="69"/>
        <v>0</v>
      </c>
      <c r="AL501" s="43">
        <f t="shared" si="70"/>
        <v>0</v>
      </c>
      <c r="AM501" s="43"/>
      <c r="AN501" s="45" t="str">
        <f t="shared" si="71"/>
        <v/>
      </c>
    </row>
  </sheetData>
  <sheetProtection formatCells="0" formatColumns="0" formatRows="0" autoFilter="0"/>
  <autoFilter ref="A1:R223" xr:uid="{5172CE83-83F2-476A-9137-1E7B95B5DFDB}"/>
  <phoneticPr fontId="1" type="noConversion"/>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0">
        <x14:dataValidation type="list" allowBlank="1" showInputMessage="1" showErrorMessage="1" xr:uid="{D606BE50-C544-4D4D-998D-9D94E47DD5EF}">
          <x14:formula1>
            <xm:f>Valintalistat!$C$2:$C$5</xm:f>
          </x14:formula1>
          <xm:sqref>K2:K501</xm:sqref>
        </x14:dataValidation>
        <x14:dataValidation type="list" allowBlank="1" showInputMessage="1" showErrorMessage="1" xr:uid="{6C118236-DF5A-4393-B245-820BFFE02319}">
          <x14:formula1>
            <xm:f>Valintalistat!$B$2:$B$5</xm:f>
          </x14:formula1>
          <xm:sqref>J2:J501</xm:sqref>
        </x14:dataValidation>
        <x14:dataValidation type="list" allowBlank="1" showInputMessage="1" showErrorMessage="1" xr:uid="{01FA7BF5-CB7A-4C95-8166-F0A8E2AB2126}">
          <x14:formula1>
            <xm:f>Valintalistat!$E$2:$E$4</xm:f>
          </x14:formula1>
          <xm:sqref>F502:F1048576</xm:sqref>
        </x14:dataValidation>
        <x14:dataValidation type="list" allowBlank="1" showInputMessage="1" showErrorMessage="1" xr:uid="{9847C35F-A41E-4BB3-9062-85E4DF91D9D3}">
          <x14:formula1>
            <xm:f>Valintalistat!$F$2:$F$5</xm:f>
          </x14:formula1>
          <xm:sqref>G2:G1048576</xm:sqref>
        </x14:dataValidation>
        <x14:dataValidation type="list" allowBlank="1" showInputMessage="1" showErrorMessage="1" xr:uid="{4588F8A9-9C27-413E-B679-89EE5862D014}">
          <x14:formula1>
            <xm:f>Valintalistat!$D$2:$D$13</xm:f>
          </x14:formula1>
          <xm:sqref>E1 E1558:E1048576</xm:sqref>
        </x14:dataValidation>
        <x14:dataValidation type="list" allowBlank="1" showInputMessage="1" showErrorMessage="1" xr:uid="{32057710-0F83-44FC-A6F6-1B0299255D37}">
          <x14:formula1>
            <xm:f>Valintalistat!$A$3:$A$11</xm:f>
          </x14:formula1>
          <xm:sqref>A1:A1048576</xm:sqref>
        </x14:dataValidation>
        <x14:dataValidation type="list" allowBlank="1" showInputMessage="1" showErrorMessage="1" xr:uid="{922FFB57-75C6-4984-84C8-57C7ABCFDC6B}">
          <x14:formula1>
            <xm:f>Valintalistat!$I$2</xm:f>
          </x14:formula1>
          <xm:sqref>I2:I501</xm:sqref>
        </x14:dataValidation>
        <x14:dataValidation type="list" allowBlank="1" showInputMessage="1" showErrorMessage="1" xr:uid="{EC29B9DC-101F-47CD-9A52-D67AA41384C6}">
          <x14:formula1>
            <xm:f>Valintalistat!$E$2:$E$5</xm:f>
          </x14:formula1>
          <xm:sqref>F2:F501</xm:sqref>
        </x14:dataValidation>
        <x14:dataValidation type="list" allowBlank="1" showInputMessage="1" showErrorMessage="1" xr:uid="{5C3B9E54-99D1-4BB4-AB70-B56F03D541CF}">
          <x14:formula1>
            <xm:f>Valintalistat!$G$2:$G$3</xm:f>
          </x14:formula1>
          <xm:sqref>H502:I1048576 H2:H501</xm:sqref>
        </x14:dataValidation>
        <x14:dataValidation type="list" allowBlank="1" showInputMessage="1" showErrorMessage="1" xr:uid="{A759BF6B-C01F-485E-9B42-0797A0E37EA0}">
          <x14:formula1>
            <xm:f>Valintalistat!$D$2:$D$7</xm:f>
          </x14:formula1>
          <xm:sqref>E2:E501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F35FB-67EA-494F-94E7-4671FF9B8D05}">
  <dimension ref="A1:H501"/>
  <sheetViews>
    <sheetView showZeros="0" workbookViewId="0" xr3:uid="{B81D63B2-3047-51DE-9636-9179C4D393E6}">
      <pane ySplit="1" topLeftCell="A2" activePane="bottomLeft" state="frozen"/>
      <selection pane="bottomLeft" activeCell="C37" sqref="C37"/>
    </sheetView>
  </sheetViews>
  <sheetFormatPr defaultColWidth="8.7109375" defaultRowHeight="12.6"/>
  <cols>
    <col min="1" max="1" width="20.140625" style="38" customWidth="1"/>
    <col min="2" max="2" width="13.5703125" style="38" customWidth="1"/>
    <col min="3" max="3" width="51.5703125" style="38" customWidth="1"/>
    <col min="4" max="4" width="15.5703125" style="38" customWidth="1"/>
    <col min="5" max="5" width="14.85546875" style="57" customWidth="1"/>
    <col min="6" max="7" width="8.7109375" style="38"/>
    <col min="8" max="8" width="14" style="38" customWidth="1"/>
    <col min="9" max="16384" width="8.7109375" style="38"/>
  </cols>
  <sheetData>
    <row r="1" spans="1:8" ht="15.6">
      <c r="A1" s="37" t="s">
        <v>39</v>
      </c>
      <c r="B1" s="37" t="s">
        <v>40</v>
      </c>
      <c r="C1" s="37" t="s">
        <v>41</v>
      </c>
      <c r="D1" s="37" t="s">
        <v>1383</v>
      </c>
      <c r="E1" s="56" t="s">
        <v>1384</v>
      </c>
    </row>
    <row r="2" spans="1:8" ht="99.95">
      <c r="A2" s="53" t="str">
        <f>Kriteeristö!U2</f>
        <v>HAL-01, L:Julkinen, E:Vähäinen, S:Vähäinen, TS:Henkilötieto</v>
      </c>
      <c r="B2" s="38" t="str">
        <f>Kriteeristö!L2</f>
        <v>Periaatteet</v>
      </c>
      <c r="C2" s="53" t="str">
        <f>_xlfn.CONCAT('Hankintaehtojen määrittely'!C2,CHAR(10),'Hankintaehtojen määrittely'!D2)</f>
        <v>Organisaatiolla on ylimmän johdon hyväksymät tietoturvallisuusperiaatteet, jotka kuvaavat organisaation tietoturvallisuustoimenpiteiden kytkeytymistä organisaation toimintaan sekä ovat tietojen suojaamisen kannalta kattavat ja tarkoituksenmukaiset.
Toimittajalla tulee olla kirjallinen kuvaus, joka osoittaa vaatimuksen täyttymisen.</v>
      </c>
      <c r="D2" s="38">
        <f>'Hankintaehtojen määrittely'!G2</f>
        <v>0</v>
      </c>
      <c r="E2" s="57">
        <f>IF(D2="Sisältyy",1,0)</f>
        <v>0</v>
      </c>
      <c r="F2" s="36"/>
      <c r="H2" s="55"/>
    </row>
    <row r="3" spans="1:8" ht="187.5">
      <c r="A3" s="53" t="str">
        <f>Kriteeristö!U3</f>
        <v>HAL-02, L:Julkinen, E:Vähäinen, S:Vähäinen, TS:Henkilötieto</v>
      </c>
      <c r="B3" s="38" t="str">
        <f>Kriteeristö!L3</f>
        <v>Tehtävät ja vastuut</v>
      </c>
      <c r="C3" s="53" t="str">
        <f>_xlfn.CONCAT('Hankintaehtojen määrittely'!C3,CHAR(10),'Hankintaehtojen määrittely'!D3)</f>
        <v xml:space="preserve">Organisaatio on määritellyt ja dokumentoinut tietoturvallisuuden hoitamisen tehtävät ja vastuut sisältäen myös palveluntuottajille kuuluvat vastuut.
Toimittajalla tulee olla kirjallinen kuvaus, joka osoittaa vaatimuksen täyttymisen. Toimittajan tulee määritellä vähintään seuraavat vastuut:
 a) turvallisuusjohtaminen
 b) fyysinen turvallisuus
 c) tekninen turvallisuus
 d) varautuminen ja jatkuvuudenhallinta
 e) tietosuoja
 f) riskienhallinta
 g) turvallisuuden kokonaisvastuu
</v>
      </c>
      <c r="D3" s="38">
        <f>'Hankintaehtojen määrittely'!G3</f>
        <v>0</v>
      </c>
      <c r="E3" s="57">
        <f>IF(D3="Sisältyy",1,0)</f>
        <v>0</v>
      </c>
    </row>
    <row r="4" spans="1:8" ht="62.45">
      <c r="A4" s="53" t="str">
        <f>Kriteeristö!U4</f>
        <v>HAL-02.1, L:Salassa pidettävä, E:Tärkeä, S:Tärkeä, TS:Erityinen henkilötietoryhmä</v>
      </c>
      <c r="B4" s="38" t="str">
        <f>Kriteeristö!L4</f>
        <v>Tehtävät ja vastuut - tehtävien eriyttäminen</v>
      </c>
      <c r="C4" s="53" t="str">
        <f>_xlfn.CONCAT('Hankintaehtojen määrittely'!C4,CHAR(10),'Hankintaehtojen määrittely'!D4)</f>
        <v>Organisaation on varmistettava, että henkilöillä ei ole tietoturvallisuuden kannalta vaarallisia työyhdistelmiä
Toimittajalla tulee olla kirjallinen kuvaus, joka osoittaa vaatimuksen täyttymisen.</v>
      </c>
      <c r="D4" s="38">
        <f>'Hankintaehtojen määrittely'!G4</f>
        <v>0</v>
      </c>
      <c r="E4" s="57">
        <f t="shared" ref="E4:E67" si="0">IF(D4="Sisältyy",1,0)</f>
        <v>0</v>
      </c>
    </row>
    <row r="5" spans="1:8" ht="87.6">
      <c r="A5" s="53" t="str">
        <f>Kriteeristö!U5</f>
        <v>HAL-03, L:Julkinen, E:Vähäinen, S:Vähäinen, TS:Henkilötieto</v>
      </c>
      <c r="B5" s="38" t="str">
        <f>Kriteeristö!L5</f>
        <v>Resurssit</v>
      </c>
      <c r="C5" s="53" t="str">
        <f>_xlfn.CONCAT('Hankintaehtojen määrittely'!C5,CHAR(10),'Hankintaehtojen määrittely'!D5)</f>
        <v>Organisaatiolla on käytössään riittävät resurssit ja asiantuntemus tietoturvallisuuden varmistamiseksi.
Toimittajalla tulee olla kirjallinen kuvaus, joka osoittaa vaatimuksen täyttymisen. Kuvauksen tulee sisältää tiedot: tehtävistä, henkilöiden osaamisesta, vastuista, valtuuksista ja resurssien riittävyydestä.</v>
      </c>
      <c r="D5" s="38">
        <f>'Hankintaehtojen määrittely'!G5</f>
        <v>0</v>
      </c>
      <c r="E5" s="57">
        <f t="shared" si="0"/>
        <v>0</v>
      </c>
    </row>
    <row r="6" spans="1:8" ht="50.1">
      <c r="A6" s="53" t="str">
        <f>Kriteeristö!U6</f>
        <v>HAL-04, L:Julkinen, E:Vähäinen, S:Vähäinen, TS:Henkilötieto</v>
      </c>
      <c r="B6" s="38" t="str">
        <f>Kriteeristö!L6</f>
        <v>Suojattavat kohteet</v>
      </c>
      <c r="C6" s="53" t="str">
        <f>_xlfn.CONCAT('Hankintaehtojen määrittely'!C6,CHAR(10),'Hankintaehtojen määrittely'!D6)</f>
        <v xml:space="preserve">Organisaatio tunnistaa suojattavat kohteet sekä pitää niistä ajantasaista dokumentaatiota.
</v>
      </c>
      <c r="D6" s="38">
        <f>'Hankintaehtojen määrittely'!G6</f>
        <v>0</v>
      </c>
      <c r="E6" s="57">
        <f t="shared" si="0"/>
        <v>0</v>
      </c>
    </row>
    <row r="7" spans="1:8" ht="50.1">
      <c r="A7" s="53" t="str">
        <f>Kriteeristö!U7</f>
        <v>HAL-04.1, L:Julkinen, E:Vähäinen, S:Vähäinen, TS:Henkilötieto</v>
      </c>
      <c r="B7" s="38" t="str">
        <f>Kriteeristö!L7</f>
        <v>Suojattavat kohteet - vastuut</v>
      </c>
      <c r="C7" s="53" t="str">
        <f>_xlfn.CONCAT('Hankintaehtojen määrittely'!C7,CHAR(10),'Hankintaehtojen määrittely'!D7)</f>
        <v>Organisaatio määrittelee suojattavien kohteiden vastuut.
Toimittajalla tulee olla kirjallinen kuvaus, joka osoittaa vaatimuksen täyttymisen.</v>
      </c>
      <c r="D7" s="38">
        <f>'Hankintaehtojen määrittely'!G7</f>
        <v>0</v>
      </c>
      <c r="E7" s="57">
        <f t="shared" si="0"/>
        <v>0</v>
      </c>
    </row>
    <row r="8" spans="1:8" ht="87.6">
      <c r="A8" s="53" t="str">
        <f>Kriteeristö!U8</f>
        <v>HAL-04.2, L:Julkinen, E:Vähäinen, S:Vähäinen, TS:Henkilötieto</v>
      </c>
      <c r="B8" s="38" t="str">
        <f>Kriteeristö!L8</f>
        <v>Suojattavat kohteet - luokittelu</v>
      </c>
      <c r="C8" s="53" t="str">
        <f>_xlfn.CONCAT('Hankintaehtojen määrittely'!C8,CHAR(10),'Hankintaehtojen määrittely'!D8)</f>
        <v>Organisaation on luokiteltava tiedot sekä niihin liittyvät järjestelmät ja käsittelyprosessit niihin kohdistuvien vaatimusten perusteella.
Toimittajan tulee kuvata luokittelun verrannollisuus tilaajan antamiin tietojen luokitteluperusteisiin, mikäli käytetään toimittajan tietojen luokittelua.</v>
      </c>
      <c r="D8" s="38">
        <f>'Hankintaehtojen määrittely'!G8</f>
        <v>0</v>
      </c>
      <c r="E8" s="57">
        <f t="shared" si="0"/>
        <v>0</v>
      </c>
    </row>
    <row r="9" spans="1:8" ht="99.95">
      <c r="A9" s="53" t="str">
        <f>Kriteeristö!U9</f>
        <v>HAL-04.3, L:Salassa pidettävä, E:, S:, TS:Erityinen henkilötietoryhmä</v>
      </c>
      <c r="B9" s="38" t="str">
        <f>Kriteeristö!L9</f>
        <v>Suojattavat kohteet - kasautumisvaikutus</v>
      </c>
      <c r="C9" s="53" t="str">
        <f>_xlfn.CONCAT('Hankintaehtojen määrittely'!C9,CHAR(10),'Hankintaehtojen määrittely'!D9)</f>
        <v>Kasautumisvaikutus on huomioitu suojattavien kohteiden luokittelussa.
Toimittaja noudattaa tilaajan määrittelemiä luokituksia. Toimittaja on kuitenkin velvollinen tunnistamaan tilanteen, jossa toimittajan vastuulla oleva palvelu sisältää useiden eri asiakkaiden tietoja sekä viestimään asiasta tilaajalle kasautumisvaikutuksen arvioimiseksi.</v>
      </c>
      <c r="D9" s="38">
        <f>'Hankintaehtojen määrittely'!G9</f>
        <v>0</v>
      </c>
      <c r="E9" s="57">
        <f t="shared" si="0"/>
        <v>0</v>
      </c>
    </row>
    <row r="10" spans="1:8" ht="75">
      <c r="A10" s="53" t="str">
        <f>Kriteeristö!U10</f>
        <v>HAL-04.4, L:Salassa pidettävä, E:, S:, TS:Erityinen henkilötietoryhmä</v>
      </c>
      <c r="B10" s="38" t="str">
        <f>Kriteeristö!L10</f>
        <v>Suojattavat kohteet - merkitseminen</v>
      </c>
      <c r="C10" s="53" t="str">
        <f>_xlfn.CONCAT('Hankintaehtojen määrittely'!C10,CHAR(10),'Hankintaehtojen määrittely'!D10)</f>
        <v xml:space="preserve">Organisaation on merkittävä tiedot lakisääteisten vaatimusten sekä organisaation määrittelemien luokitteluperiaatteiden mukaisesti.
Toimittajan tulee tehdä merkinnät tilaajan antamien ohjeiden mukaisesti. </v>
      </c>
      <c r="D10" s="38">
        <f>'Hankintaehtojen määrittely'!G10</f>
        <v>0</v>
      </c>
      <c r="E10" s="57">
        <f t="shared" si="0"/>
        <v>0</v>
      </c>
    </row>
    <row r="11" spans="1:8" ht="62.45">
      <c r="A11" s="53" t="str">
        <f>Kriteeristö!U11</f>
        <v>HAL-04.5, L:Julkinen, E:Vähäinen, S:Vähäinen, TS:Henkilötieto</v>
      </c>
      <c r="B11" s="38" t="str">
        <f>Kriteeristö!L11</f>
        <v>Suojattavat kohteet - riippuvuudet</v>
      </c>
      <c r="C11" s="53" t="str">
        <f>_xlfn.CONCAT('Hankintaehtojen määrittely'!C11,CHAR(10),'Hankintaehtojen määrittely'!D11)</f>
        <v>Organisaatio on tunnistanut ja dokumentoinut suojattavien kohteiden väliset riippuvuudet. 
Lisäksi toimittajan tulee avustaa tilaajaa riippuvuuksien tunnistamisessa.</v>
      </c>
      <c r="D11" s="38">
        <f>'Hankintaehtojen määrittely'!G11</f>
        <v>0</v>
      </c>
      <c r="E11" s="57">
        <f t="shared" si="0"/>
        <v>0</v>
      </c>
    </row>
    <row r="12" spans="1:8" ht="50.1">
      <c r="A12" s="53" t="str">
        <f>Kriteeristö!U12</f>
        <v>HAL-04.6, L:Julkinen, E:Vähäinen, S:Vähäinen, TS:Henkilötieto</v>
      </c>
      <c r="B12" s="38" t="str">
        <f>Kriteeristö!L12</f>
        <v>Suojattavat kohteet - sidosryhmät</v>
      </c>
      <c r="C12" s="53" t="str">
        <f>_xlfn.CONCAT('Hankintaehtojen määrittely'!C12,CHAR(10),'Hankintaehtojen määrittely'!D12)</f>
        <v>Organisaatio on tunnistanut ja dokumentoinut suojattaviin kohteisiin liittyvät sidosryhmät. 
Toimittaja on dokumentoinut sidosryhmät ja toimitusketjut.</v>
      </c>
      <c r="D12" s="38">
        <f>'Hankintaehtojen määrittely'!G12</f>
        <v>0</v>
      </c>
      <c r="E12" s="57">
        <f t="shared" si="0"/>
        <v>0</v>
      </c>
    </row>
    <row r="13" spans="1:8" ht="75">
      <c r="A13" s="53" t="str">
        <f>Kriteeristö!U13</f>
        <v>HAL-05, L:Julkinen, E:Vähäinen, S:Vähäinen, TS:Henkilötieto</v>
      </c>
      <c r="B13" s="38" t="str">
        <f>Kriteeristö!L13</f>
        <v>Vaatimukset</v>
      </c>
      <c r="C13" s="53" t="str">
        <f>_xlfn.CONCAT('Hankintaehtojen määrittely'!C13,CHAR(10),'Hankintaehtojen määrittely'!D13)</f>
        <v>Organisaatio tunnistaa lainsäädännöstä, sidosryhmistä sekä organisaation toiminnasta johtuvat tietoturvavaatimukset.
Toimittaja noudattaa tilaajan ja toimittajan välistä sopimusta ja on tunnistanut omaan toimintaansa liittyvät lainsäädäntövelvoitteet.</v>
      </c>
      <c r="D13" s="38">
        <f>'Hankintaehtojen määrittely'!G13</f>
        <v>0</v>
      </c>
      <c r="E13" s="57">
        <f t="shared" si="0"/>
        <v>0</v>
      </c>
    </row>
    <row r="14" spans="1:8" ht="112.5">
      <c r="A14" s="53" t="str">
        <f>Kriteeristö!U14</f>
        <v>HAL-05.1, L:Julkinen, E:Vähäinen, S:Vähäinen, TS:Henkilötieto</v>
      </c>
      <c r="B14" s="38" t="str">
        <f>Kriteeristö!L14</f>
        <v>Vaatimukset - seuranta</v>
      </c>
      <c r="C14" s="53" t="str">
        <f>_xlfn.CONCAT('Hankintaehtojen määrittely'!C14,CHAR(10),'Hankintaehtojen määrittely'!D14)</f>
        <v xml:space="preserve">Organisaatio seuraa asetettujen tietoturvallisuusvaatimusten ja toimintaympäristön muutoksia ja tekee tarvittavat toimenpiteet niihin reagoimiseksi.
Toimittajan tietoturvallisuuden menettelyt on suhteutettu suojattavaan tietoon ja kohdeorganisaation toimintaan. 
Lisäksi toimittaja on velvollinen avustamaan tilaajaa toimintaympäristön muutosten tunnistamisessa. </v>
      </c>
      <c r="D14" s="38">
        <f>'Hankintaehtojen määrittely'!G14</f>
        <v>0</v>
      </c>
      <c r="E14" s="57">
        <f t="shared" si="0"/>
        <v>0</v>
      </c>
    </row>
    <row r="15" spans="1:8" ht="125.1">
      <c r="A15" s="53" t="str">
        <f>Kriteeristö!U15</f>
        <v>HAL-05.2, L:Julkinen, E:Vähäinen, S:Vähäinen, TS:Henkilötieto</v>
      </c>
      <c r="B15" s="38" t="str">
        <f>Kriteeristö!L15</f>
        <v>Vaatimukset - muutosvaikutukset</v>
      </c>
      <c r="C15" s="53" t="str">
        <f>_xlfn.CONCAT('Hankintaehtojen määrittely'!C15,CHAR(10),'Hankintaehtojen määrittely'!D15)</f>
        <v>Organisaatio arvioi olennaisten hallinnollisten uudistusten ja tietojärjestelmien käyttöönottojen muutosvaikutukset suhteessa tietoturvallisuusvaatimuksiin ja -toimenpiteisiin.
Toimittajan kohdalla olennaisilla hallinnollisilla uudistuksilla tarkoitetaan kaikkia olennaisia toimittajan toiminnassa tapahtuvia muutoksia.
tilaajan toiminnan edellyttämät muutokset toteutetaan tilaajan erikseen ohjeistamalla tavalla.</v>
      </c>
      <c r="D15" s="38">
        <f>'Hankintaehtojen määrittely'!G15</f>
        <v>0</v>
      </c>
      <c r="E15" s="57">
        <f t="shared" si="0"/>
        <v>0</v>
      </c>
    </row>
    <row r="16" spans="1:8" ht="75">
      <c r="A16" s="53" t="str">
        <f>Kriteeristö!U16</f>
        <v>HAL-06, L:Julkinen, E:Vähäinen, S:Vähäinen, TS:Henkilötieto</v>
      </c>
      <c r="B16" s="38" t="str">
        <f>Kriteeristö!L16</f>
        <v>Riskienhallinta</v>
      </c>
      <c r="C16" s="53" t="str">
        <f>_xlfn.CONCAT('Hankintaehtojen määrittely'!C16,CHAR(10),'Hankintaehtojen määrittely'!D16)</f>
        <v>Organisaatio toteuttaa tietoturvallisuusriskien hallintaa ja on arvioinut olennaiset tietoihin kohdistuvat riskit sekä mitoittanut tietoturvallisuustoimenpiteet riskiarvioinnin mukaisesti.
Toimittajan tulee ottaa riskienhallinnassa huomioon myös tilaajan antamat riskienhallintaa koskevat ohjeet.</v>
      </c>
      <c r="D16" s="38">
        <f>'Hankintaehtojen määrittely'!G16</f>
        <v>0</v>
      </c>
      <c r="E16" s="57">
        <f t="shared" si="0"/>
        <v>0</v>
      </c>
    </row>
    <row r="17" spans="1:5" ht="75">
      <c r="A17" s="53" t="str">
        <f>Kriteeristö!U17</f>
        <v>HAL-06.1, L:Salassa pidettävä, E:, S:, TS:Henkilötieto</v>
      </c>
      <c r="B17" s="38" t="str">
        <f>Kriteeristö!L17</f>
        <v>Riskienhallinta - lainsäädäntöjohdannaiset riskit</v>
      </c>
      <c r="C17" s="53" t="str">
        <f>_xlfn.CONCAT('Hankintaehtojen määrittely'!C17,CHAR(10),'Hankintaehtojen määrittely'!D17)</f>
        <v>Palveluun liittyvät lainsäädäntöjohdannaiset riskit on tunnistettu, arvioitu ja niistä on huolehdittu.
Toimittaja on lisäksi velvollinen avustamaan tilaajaa lainsäädäntöjohdannaisten riskien tunnistamisessa ja viestimään niistä tilaajalle.</v>
      </c>
      <c r="D17" s="38">
        <f>'Hankintaehtojen määrittely'!G17</f>
        <v>0</v>
      </c>
      <c r="E17" s="57">
        <f t="shared" si="0"/>
        <v>0</v>
      </c>
    </row>
    <row r="18" spans="1:5" ht="62.45">
      <c r="A18" s="53" t="str">
        <f>Kriteeristö!U18</f>
        <v>HAL-07, L:Julkinen, E:Vähäinen, S:Vähäinen, TS:Henkilötieto</v>
      </c>
      <c r="B18" s="38" t="str">
        <f>Kriteeristö!L18</f>
        <v>Seuranta ja valvonta</v>
      </c>
      <c r="C18" s="53" t="str">
        <f>_xlfn.CONCAT('Hankintaehtojen määrittely'!C18,CHAR(10),'Hankintaehtojen määrittely'!D18)</f>
        <v xml:space="preserve">Organisaatiossa on järjestetty seuranta ja valvonta tietoturvallisuuteen liittyvien prosessien toimivuudesta ja vaatimusten täyttymisestä.
</v>
      </c>
      <c r="D18" s="38">
        <f>'Hankintaehtojen määrittely'!G18</f>
        <v>0</v>
      </c>
      <c r="E18" s="57">
        <f t="shared" si="0"/>
        <v>0</v>
      </c>
    </row>
    <row r="19" spans="1:5" ht="75">
      <c r="A19" s="53" t="str">
        <f>Kriteeristö!U19</f>
        <v>HAL-07.1, L:Julkinen, E:Vähäinen, S:Vähäinen, TS:Henkilötieto</v>
      </c>
      <c r="B19" s="38" t="str">
        <f>Kriteeristö!L19</f>
        <v>Seuranta ja valvonta - tietojen käyttö ja luovutukset</v>
      </c>
      <c r="C19" s="53" t="str">
        <f>_xlfn.CONCAT('Hankintaehtojen määrittely'!C19,CHAR(10),'Hankintaehtojen määrittely'!D19)</f>
        <v>Organisaatio on tunnistanut lokitietojen keräämiseen liittyvät vaatimukset ja varmistanut niiden perusteella lokitietojen keräämisen ja seurannan riittävyyden. 
Lisäksi lokitietojen käsittelyssä tulee noudattaa tilaajan asettamia vaatimuksia.</v>
      </c>
      <c r="D19" s="38">
        <f>'Hankintaehtojen määrittely'!G19</f>
        <v>0</v>
      </c>
      <c r="E19" s="57">
        <f t="shared" si="0"/>
        <v>0</v>
      </c>
    </row>
    <row r="20" spans="1:5" ht="62.45">
      <c r="A20" s="53" t="str">
        <f>Kriteeristö!U20</f>
        <v>HAL-08, L:Julkinen, E:Vähäinen, S:Vähäinen, TS:Henkilötieto</v>
      </c>
      <c r="B20" s="38" t="str">
        <f>Kriteeristö!L20</f>
        <v>Häiriöiden hallinta</v>
      </c>
      <c r="C20" s="53" t="str">
        <f>_xlfn.CONCAT('Hankintaehtojen määrittely'!C20,CHAR(10),'Hankintaehtojen määrittely'!D20)</f>
        <v>Organisaatiolla on tietoturvallisuushäiriöiden ja poikkeamatilanteiden käsittelyyn määritellyt prosessit ja ohjeet.
Lisäksi tulee noudattaa tilaajan asettamia vaatimuksia.</v>
      </c>
      <c r="D20" s="38">
        <f>'Hankintaehtojen määrittely'!G20</f>
        <v>0</v>
      </c>
      <c r="E20" s="57">
        <f t="shared" si="0"/>
        <v>0</v>
      </c>
    </row>
    <row r="21" spans="1:5" ht="50.1">
      <c r="A21" s="53" t="str">
        <f>Kriteeristö!U21</f>
        <v>HAL-09, L:Julkinen, E:Vähäinen, S:Vähäinen, TS:Henkilötieto</v>
      </c>
      <c r="B21" s="38" t="str">
        <f>Kriteeristö!L21</f>
        <v>Dokumentointi</v>
      </c>
      <c r="C21" s="53" t="str">
        <f>_xlfn.CONCAT('Hankintaehtojen määrittely'!C21,CHAR(10),'Hankintaehtojen määrittely'!D21)</f>
        <v>Tietoturvallisuuteen liittyvät politiikat, prosessit, ohjeet ja prosessien toteuttamisessa syntyvät tulokset on dokumentoitu.
Lisäksi tulee noudattaa tilaajan asettamia vaatimuksia.</v>
      </c>
      <c r="D21" s="38">
        <f>'Hankintaehtojen määrittely'!G21</f>
        <v>0</v>
      </c>
      <c r="E21" s="57">
        <f t="shared" si="0"/>
        <v>0</v>
      </c>
    </row>
    <row r="22" spans="1:5" ht="50.1">
      <c r="A22" s="53" t="str">
        <f>Kriteeristö!U22</f>
        <v>HAL-09.1, L:Julkinen, E:Vähäinen, S:Vähäinen, TS:Henkilötieto</v>
      </c>
      <c r="B22" s="38" t="str">
        <f>Kriteeristö!L22</f>
        <v>Dokumentointi - ajantasaisuus</v>
      </c>
      <c r="C22" s="53" t="str">
        <f>_xlfn.CONCAT('Hankintaehtojen määrittely'!C22,CHAR(10),'Hankintaehtojen määrittely'!D22)</f>
        <v xml:space="preserve">Tietoturvallisuuteen liittyvä dokumentaatio on ajantasaista.
</v>
      </c>
      <c r="D22" s="38">
        <f>'Hankintaehtojen määrittely'!G22</f>
        <v>0</v>
      </c>
      <c r="E22" s="57">
        <f t="shared" si="0"/>
        <v>0</v>
      </c>
    </row>
    <row r="23" spans="1:5" ht="75">
      <c r="A23" s="53" t="str">
        <f>Kriteeristö!U23</f>
        <v>HAL-10, L:Julkinen, E:Vähäinen, S:Vähäinen, TS:Henkilötieto</v>
      </c>
      <c r="B23" s="38" t="str">
        <f>Kriteeristö!L23</f>
        <v>Henkilöstön luotettavuuden arviointi</v>
      </c>
      <c r="C23" s="53" t="str">
        <f>_xlfn.CONCAT('Hankintaehtojen määrittely'!C23,CHAR(10),'Hankintaehtojen määrittely'!D23)</f>
        <v>Organisaatio tunnistaa ne tehtävät, joiden suorittaminen edellyttää sen palveluksessa olevilta tai sen lukuun toimivilta henkilöiltä erityistä luotettavuutta.
Lisäksi tilaaja voi määritellä tehtäviä joissa edellytetään erityistä luotettavuutta.</v>
      </c>
      <c r="D23" s="38">
        <f>'Hankintaehtojen määrittely'!G23</f>
        <v>0</v>
      </c>
      <c r="E23" s="57">
        <f t="shared" si="0"/>
        <v>0</v>
      </c>
    </row>
    <row r="24" spans="1:5" ht="99.95">
      <c r="A24" s="53" t="str">
        <f>Kriteeristö!U24</f>
        <v>HAL-10.1, L:Salassa pidettävä, E:Kriittinen, S:Kriittinen, TS:Erityinen henkilötietoryhmä</v>
      </c>
      <c r="B24" s="38" t="str">
        <f>Kriteeristö!L24</f>
        <v>Henkilöstön luotettavuuden arviointi - turvallisuusselvitys</v>
      </c>
      <c r="C24" s="53" t="str">
        <f>_xlfn.CONCAT('Hankintaehtojen määrittely'!C24,CHAR(10),'Hankintaehtojen määrittely'!D24)</f>
        <v>Organisaatio arvioi turvallisuusselvityksen tarpeen ja mikäli sellaista edellytetään, myöntää henkilöille pääsyn suojattaviin kohteisiin vasta turvallisuusselvityksen jälkeen.
Tilaaja määrittelee tehtävät joissa tilaaja voi pyytää toimittajan henkilöistä turvallisuusselvitystä. Toimittaja myöntää pääsyn tilaajan tietoihin turvallisuuselvityksen tuloksen hyväksymisen jälkeen (tilaaja hyväksyy tuloksen).</v>
      </c>
      <c r="D24" s="38">
        <f>'Hankintaehtojen määrittely'!G24</f>
        <v>0</v>
      </c>
      <c r="E24" s="57">
        <f t="shared" si="0"/>
        <v>0</v>
      </c>
    </row>
    <row r="25" spans="1:5" ht="75">
      <c r="A25" s="53" t="str">
        <f>Kriteeristö!U25</f>
        <v>HAL-11, L:Salassa pidettävä, E:, S:, TS:Henkilötieto</v>
      </c>
      <c r="B25" s="38" t="str">
        <f>Kriteeristö!L25</f>
        <v>Salassapito- ja vaitiolovelvollisuus</v>
      </c>
      <c r="C25" s="53" t="str">
        <f>_xlfn.CONCAT('Hankintaehtojen määrittely'!C25,CHAR(10),'Hankintaehtojen määrittely'!D25)</f>
        <v xml:space="preserve">Tietoa käsitteleville henkilöille on selvitetty tietojen suojaamista ja asiakirjojen käsittelyä koskevat tietoturvallisuusperiaatteet ja -toimenpiteet.
Lisäksi toimittaja noudattaa tilaajan ja toimittajan välistä sopimusta ja salassapitovaatimuksia. </v>
      </c>
      <c r="D25" s="38">
        <f>'Hankintaehtojen määrittely'!G25</f>
        <v>0</v>
      </c>
      <c r="E25" s="57">
        <f t="shared" si="0"/>
        <v>0</v>
      </c>
    </row>
    <row r="26" spans="1:5" ht="112.5">
      <c r="A26" s="53" t="str">
        <f>Kriteeristö!U26</f>
        <v>HAL-12, L:Julkinen, E:Vähäinen, S:Vähäinen, TS:Henkilötieto</v>
      </c>
      <c r="B26" s="38" t="str">
        <f>Kriteeristö!L26</f>
        <v>Ohjeet</v>
      </c>
      <c r="C26" s="53" t="str">
        <f>_xlfn.CONCAT('Hankintaehtojen määrittely'!C26,CHAR(10),'Hankintaehtojen määrittely'!D26)</f>
        <v>Organisaatiossa on ajantasaiset ja kattavat ohjeet tietoturvallisuuden varmistamiseksi.
Toimittajan ohjeiden tulee olla riittävät tilaajan asettamien tietoturvavaatimusten täyttämiseksi. 
Toimittaja on velvollinen pyydettäessä selvittämään kuinka toimittajan ohjeet täyttävät tilaajan asettamat tietoturvavaatimukset.</v>
      </c>
      <c r="D26" s="38">
        <f>'Hankintaehtojen määrittely'!G26</f>
        <v>0</v>
      </c>
      <c r="E26" s="57">
        <f t="shared" si="0"/>
        <v>0</v>
      </c>
    </row>
    <row r="27" spans="1:5" ht="162.6">
      <c r="A27" s="53" t="str">
        <f>Kriteeristö!U27</f>
        <v>HAL-13, L:Julkinen, E:Vähäinen, S:Vähäinen, TS:Henkilötieto</v>
      </c>
      <c r="B27" s="38" t="str">
        <f>Kriteeristö!L27</f>
        <v>Koulutukset</v>
      </c>
      <c r="C27" s="53" t="str">
        <f>_xlfn.CONCAT('Hankintaehtojen määrittely'!C27,CHAR(10),'Hankintaehtojen määrittely'!D27)</f>
        <v>Organisaatio varmistaa perehdytyksillä, koulutuksilla ja viestinnällä, että henkilöstöllä ja organisaation lukuun toimivilla on tuntemus voimassa olevista tietoturvallisuutta koskevista määräyksistä ja ohjeista.
Toimittajan tietoturvakoulutusten tulee täyttää seuraavat vaatimukset:
- Tietoja käsittelevälle henkilölle on selvitetty tietojen suojaamista koskevat turvallisuussäännöt ja -menettelyt.
- Koulutus toteutetaan henkilöstön työtehtävien tarpeet huomioiden.
- Koulutuksen sisältö dokumentoidaan
- Koulutuksiin osallistuneista pidetään kirjaa</v>
      </c>
      <c r="D27" s="38">
        <f>'Hankintaehtojen määrittely'!G27</f>
        <v>0</v>
      </c>
      <c r="E27" s="57">
        <f t="shared" si="0"/>
        <v>0</v>
      </c>
    </row>
    <row r="28" spans="1:5" ht="75">
      <c r="A28" s="53" t="str">
        <f>Kriteeristö!U28</f>
        <v>HAL-14, L:Julkinen, E:Vähäinen, S:, TS:Henkilötieto</v>
      </c>
      <c r="B28" s="38" t="str">
        <f>Kriteeristö!L28</f>
        <v>Käyttö- ja käsittelyoikeudet</v>
      </c>
      <c r="C28" s="53" t="str">
        <f>_xlfn.CONCAT('Hankintaehtojen määrittely'!C28,CHAR(10),'Hankintaehtojen määrittely'!D28)</f>
        <v>Organisaatio varmistaa, että tietojärjestelmien käyttöoikeudet ja tietojen käsittelyoikeudet määritellään tehtäviin liittyvien tarpeiden mukaan sekä pidetään ajantasaisina.
Lisäksi toimittaja noudattaa mahdollisia tilaajan antamia ohjeita käyttö- ja käsittelyoikeuksien hallinnassa.</v>
      </c>
      <c r="D28" s="38">
        <f>'Hankintaehtojen määrittely'!G28</f>
        <v>0</v>
      </c>
      <c r="E28" s="57">
        <f t="shared" si="0"/>
        <v>0</v>
      </c>
    </row>
    <row r="29" spans="1:5" ht="75">
      <c r="A29" s="53" t="str">
        <f>Kriteeristö!U29</f>
        <v>HAL-14.1, L:TL III, E:, S:, TS:</v>
      </c>
      <c r="B29" s="38" t="str">
        <f>Kriteeristö!L29</f>
        <v>Käyttö- ja käsittelyoikeudet - ajantasainen luettelo</v>
      </c>
      <c r="C29" s="53" t="str">
        <f>_xlfn.CONCAT('Hankintaehtojen määrittely'!C29,CHAR(10),'Hankintaehtojen määrittely'!D29)</f>
        <v>Organisaatio varmistaa, että sillä on ajantasaiset luettelot henkilöiden käyttö- ja käsittelyoikeuksista. 
Lisäksi toimittaja noudattaa tilaajan antamia ohjeita turvallisuusluokiteltujen tietojen käyttö- ja käsittelyoikeuksien luetteloinnista.</v>
      </c>
      <c r="D29" s="38">
        <f>'Hankintaehtojen määrittely'!G29</f>
        <v>0</v>
      </c>
      <c r="E29" s="57">
        <f t="shared" si="0"/>
        <v>0</v>
      </c>
    </row>
    <row r="30" spans="1:5" ht="75">
      <c r="A30" s="53" t="str">
        <f>Kriteeristö!U30</f>
        <v>HAL-14.2, L:Salassa pidettävä, E:Kriittinen, S:, TS:Erityinen henkilötietoryhmä</v>
      </c>
      <c r="B30" s="38" t="str">
        <f>Kriteeristö!L30</f>
        <v>Käyttö- ja käsittelyoikeudet - päättyminen</v>
      </c>
      <c r="C30" s="53" t="str">
        <f>_xlfn.CONCAT('Hankintaehtojen määrittely'!C30,CHAR(10),'Hankintaehtojen määrittely'!D30)</f>
        <v>Organisaatio varmistaa, että se, joka ei enää toimi tehtävissä, joihin oikeus tietojen käsittelyyn perustuu, palauttaa tiedot tai tuhoaa ne asianmukaisella tavalla.
Lisäksi toimittaja tiedottaa käyttö- ja käsittelyoikeuksien muutoksista tilaajalle, jos tilaaja sitä edellyttää.</v>
      </c>
      <c r="D30" s="38">
        <f>'Hankintaehtojen määrittely'!G30</f>
        <v>0</v>
      </c>
      <c r="E30" s="57">
        <f t="shared" si="0"/>
        <v>0</v>
      </c>
    </row>
    <row r="31" spans="1:5" ht="112.5">
      <c r="A31" s="53" t="str">
        <f>Kriteeristö!U31</f>
        <v>HAL-15, L:Julkinen, E:Vähäinen, S:Vähäinen, TS:Henkilötieto</v>
      </c>
      <c r="B31" s="38" t="str">
        <f>Kriteeristö!L31</f>
        <v>Työskentelyn tietoturvallisuus koko palvelussuhteen ajan</v>
      </c>
      <c r="C31" s="53" t="str">
        <f>_xlfn.CONCAT('Hankintaehtojen määrittely'!C31,CHAR(10),'Hankintaehtojen määrittely'!D31)</f>
        <v>Organisaatio huolehtii työskentelyn tietoturvallisuudesta koko palvelussuhteen ajan.
Vaatimuksella tarkoitetaan menettelyitä, joiden avulla toimittaja varmistaa toimittajan henkilöstön ja mahdollisesti alihankkijoiden työskentelyn tietoturvallisuuden. 
Toimittajalla tulee olla kirjallinen kuvaus, joka osoittaa vaatimuksen täyttymisen.</v>
      </c>
      <c r="D31" s="38">
        <f>'Hankintaehtojen määrittely'!G31</f>
        <v>0</v>
      </c>
      <c r="E31" s="57">
        <f t="shared" si="0"/>
        <v>0</v>
      </c>
    </row>
    <row r="32" spans="1:5" ht="87.6">
      <c r="A32" s="53" t="str">
        <f>Kriteeristö!U32</f>
        <v>HAL-16, L:Julkinen, E:Vähäinen, S:Vähäinen, TS:Henkilötieto</v>
      </c>
      <c r="B32" s="38" t="str">
        <f>Kriteeristö!L32</f>
        <v>Hankintojen turvallisuus</v>
      </c>
      <c r="C32" s="53" t="str">
        <f>_xlfn.CONCAT('Hankintaehtojen määrittely'!C32,CHAR(10),'Hankintaehtojen määrittely'!D32)</f>
        <v>Organisaatio varmistaa jo ennakolta, että hankittavat tietojärjestelmät ja palvelut ovat tietoturvallisia sekä varmistaa niiden turvallisuuden muutostilanteissa koko järjestelmän elinkaaren ajan.
Lisäksi toimittaja varmistaa hankinnoissaan, että tilaajan palveluille asettamat tietoturvavaatimukset täyttyvät.</v>
      </c>
      <c r="D32" s="38">
        <f>'Hankintaehtojen määrittely'!G32</f>
        <v>0</v>
      </c>
      <c r="E32" s="57">
        <f t="shared" si="0"/>
        <v>0</v>
      </c>
    </row>
    <row r="33" spans="1:5" ht="75">
      <c r="A33" s="53" t="str">
        <f>Kriteeristö!U33</f>
        <v>HAL-16.1, L:Julkinen, E:Vähäinen, S:Vähäinen, TS:Henkilötieto</v>
      </c>
      <c r="B33" s="38" t="str">
        <f>Kriteeristö!L33</f>
        <v>Hankintojen turvallisuus - sopimukset</v>
      </c>
      <c r="C33" s="53" t="str">
        <f>_xlfn.CONCAT('Hankintaehtojen määrittely'!C33,CHAR(10),'Hankintaehtojen määrittely'!D33)</f>
        <v>Organisaatio varmistaa, että tietoturvallisuuteen sisältyvät vaatimukset ja niiden säilyminen koko elinkaaren ajan on otettu huomioon sopimuksissa. Sopimusehdot eivät myöskään saa rajoittaa palvelun soveltuvuutta kyseiseen käyttötapaukseen. 
Vaatimusta sovelletaan myös toimittajan alihankintaan.</v>
      </c>
      <c r="D33" s="38">
        <f>'Hankintaehtojen määrittely'!G33</f>
        <v>0</v>
      </c>
      <c r="E33" s="57">
        <f t="shared" si="0"/>
        <v>0</v>
      </c>
    </row>
    <row r="34" spans="1:5" ht="75">
      <c r="A34" s="53" t="str">
        <f>Kriteeristö!U34</f>
        <v>HAL-17, L:, E:Tärkeä, S:Tärkeä, TS:</v>
      </c>
      <c r="B34" s="38" t="str">
        <f>Kriteeristö!L34</f>
        <v>Tietojärjestelmien toiminnallinen käytettävyys ja vikasietoisuus</v>
      </c>
      <c r="C34" s="53" t="str">
        <f>_xlfn.CONCAT('Hankintaehtojen määrittely'!C34,CHAR(10),'Hankintaehtojen määrittely'!D34)</f>
        <v>Organisaatio varmistaa tehtävien hoitamisen kannalta olennaisten tietojärjestelmien vikasietoisuuden ja toiminnallisen käytettävyyden riittävällä testauksella säännöllisesti.
Toimittaja avustaa tilaajan määrittelemällä tavalla vikasietoisuutta ja käytettävyyttä koskevissa testeissä.</v>
      </c>
      <c r="D34" s="38">
        <f>'Hankintaehtojen määrittely'!G34</f>
        <v>0</v>
      </c>
      <c r="E34" s="57">
        <f t="shared" si="0"/>
        <v>0</v>
      </c>
    </row>
    <row r="35" spans="1:5" ht="75">
      <c r="A35" s="53" t="str">
        <f>Kriteeristö!U35</f>
        <v>HAL-17.1, L:Julkinen, E:Vähäinen, S:Vähäinen, TS:Henkilötieto</v>
      </c>
      <c r="B35" s="38" t="str">
        <f>Kriteeristö!L35</f>
        <v>Tietojärjestelmien toiminnallinen käytettävyys ja vikasietoisuus - saavutettavuus</v>
      </c>
      <c r="C35" s="53" t="str">
        <f>_xlfn.CONCAT('Hankintaehtojen määrittely'!C35,CHAR(10),'Hankintaehtojen määrittely'!D35)</f>
        <v>Organisaation on varmistettava digitaalisten palveluiden saavutettavuus lainsäädännön edellyttämässä laajuudessa.
Vaatimusta sovelletaan tilaajan määrittelemällä tavalla. </v>
      </c>
      <c r="D35" s="38">
        <f>'Hankintaehtojen määrittely'!G35</f>
        <v>0</v>
      </c>
      <c r="E35" s="57">
        <f t="shared" si="0"/>
        <v>0</v>
      </c>
    </row>
    <row r="36" spans="1:5" ht="62.45">
      <c r="A36" s="53" t="str">
        <f>Kriteeristö!U36</f>
        <v>HAL-18, L:Julkinen, E:, S:, TS:</v>
      </c>
      <c r="B36" s="38" t="str">
        <f>Kriteeristö!L36</f>
        <v>Asiakirjajulkisuuden toteuttaminen</v>
      </c>
      <c r="C36" s="53" t="str">
        <f>_xlfn.CONCAT('Hankintaehtojen määrittely'!C36,CHAR(10),'Hankintaehtojen määrittely'!D36)</f>
        <v xml:space="preserve">Organisaatio varmistaa, että tietojärjestelmät, tietovarantojen tietorakenteet ja niihin liittyvän tietojenkäsittely suunnitellaan siten, että asiakirjojen julkisuus voidaan vaivatta toteuttaa.
Vaatimusta sovelletaan tilaajan määrittelemällä tavalla. </v>
      </c>
      <c r="D36" s="38">
        <f>'Hankintaehtojen määrittely'!G36</f>
        <v>0</v>
      </c>
      <c r="E36" s="57">
        <f t="shared" si="0"/>
        <v>0</v>
      </c>
    </row>
    <row r="37" spans="1:5" ht="75">
      <c r="A37" s="53" t="str">
        <f>Kriteeristö!U37</f>
        <v>HAL-19, L:Julkinen, E:, S:, TS:Henkilötieto</v>
      </c>
      <c r="B37" s="38" t="str">
        <f>Kriteeristö!L37</f>
        <v xml:space="preserve">Tietojen käsittely </v>
      </c>
      <c r="C37" s="53" t="str">
        <f>_xlfn.CONCAT('Hankintaehtojen määrittely'!C37,CHAR(10),'Hankintaehtojen määrittely'!D37)</f>
        <v>Organisaatio varmistaa, että tietoja käsitellään ja säilytetään siten, että pääsy tietoihin suojataan sivullisilta.
Toimittajalla tulee olla kirjallinen kuvaus, joka osoittaa vaatimuksen täyttymisen. Vaatimusta on täsmennetty fyysisen ja teknisen osa-alueen vaatimuksissa.</v>
      </c>
      <c r="D37" s="38">
        <f>'Hankintaehtojen määrittely'!G37</f>
        <v>0</v>
      </c>
      <c r="E37" s="57">
        <f t="shared" si="0"/>
        <v>0</v>
      </c>
    </row>
    <row r="38" spans="1:5" ht="136.5" customHeight="1">
      <c r="A38" s="53" t="str">
        <f>Kriteeristö!U38</f>
        <v>FYY-01, L:Julkinen, E:Vähäinen, S:Vähäinen, TS:Henkilötieto</v>
      </c>
      <c r="B38" s="38" t="str">
        <f>Kriteeristö!L38</f>
        <v>Fyysisen turvallisuuden riskien arviointi</v>
      </c>
      <c r="C38" s="53" t="str">
        <f>_xlfn.CONCAT('Hankintaehtojen määrittely'!C38,CHAR(10),'Hankintaehtojen määrittely'!D38)</f>
        <v>Fyysiset turvatoimet on mitoitettava riskien arvioinnin mukaisesti. 
Toimittaja on tunnistanut ja arvioinut palvelun tuottamisen kannalta olennaiset riskit sekä mitoittanut fyysiset turvatoimet siten, että kaikki fyysiseen turvallisuuteen liittyvät jäännösriskit ovat hyväksyttävällä tasolla suhteessa tilaajan asettamiin vaatimuksiin.</v>
      </c>
      <c r="D38" s="38">
        <f>'Hankintaehtojen määrittely'!G38</f>
        <v>0</v>
      </c>
      <c r="E38" s="57">
        <f t="shared" si="0"/>
        <v>0</v>
      </c>
    </row>
    <row r="39" spans="1:5" ht="62.45">
      <c r="A39" s="53" t="str">
        <f>Kriteeristö!U39</f>
        <v>FYY-01.1, L:TL III, E:, S:, TS:</v>
      </c>
      <c r="B39" s="38" t="str">
        <f>Kriteeristö!L39</f>
        <v>Fyysisen turvallisuuden riskien arviointi - TEMPEST</v>
      </c>
      <c r="C39" s="53" t="str">
        <f>_xlfn.CONCAT('Hankintaehtojen määrittely'!C39,CHAR(10),'Hankintaehtojen määrittely'!D39)</f>
        <v>Arvioitaessa tiedon käsittelyä päätelaitteessa ja turvallisuusalueiden sijaintia on riittävässä määrin otettava huomioon myös TEMPEST-riski.
Toimittaja noudattaa tilaajan antamia TEMPEST-vaatimuksia.</v>
      </c>
      <c r="D39" s="38">
        <f>'Hankintaehtojen määrittely'!G39</f>
        <v>0</v>
      </c>
      <c r="E39" s="57">
        <f t="shared" si="0"/>
        <v>0</v>
      </c>
    </row>
    <row r="40" spans="1:5" ht="187.5">
      <c r="A40" s="53" t="str">
        <f>Kriteeristö!U40</f>
        <v>FYY-02, L:Julkinen, E:Vähäinen, S:Vähäinen, TS:Henkilötieto</v>
      </c>
      <c r="B40" s="38" t="str">
        <f>Kriteeristö!L40</f>
        <v>Fyysisten turvatoimien valinta (monitasoinen suojaus)</v>
      </c>
      <c r="C40" s="53" t="str">
        <f>_xlfn.CONCAT('Hankintaehtojen määrittely'!C40,CHAR(10),'Hankintaehtojen määrittely'!D40)</f>
        <v>Turvallisuusalueilla ja niitä ympäröivissä tiloissa on toteutettava turvallisuusalueen suojausta vaarantavia tekoja ennaltaehkäiseviä, estäviä ja rajaavia toimenpiteitä, toimenpiteitä suojausta vaarantavien tekojen havaitsemiseksi ja jäljittämiseksi sekä toimenpiteitä vaarantanutta tekoa edeltäneen turvallisuustason palauttamiseksi viipymättä monitasoista suojausperiaatetta soveltaen.
Laitteet on tarkastettava ja huollettava säännöllisin väliajoin.
Toimittajan on tunnistettava tiloihin kohdistuvat olennaiset riskit, sekä toteutettava riittävät suojaustoimenpiteet riskien hallitsemiseksi. Toimittajan on pystyttävä havaitsemaan, jäljittämään, ennaltaehkäisemään ja rajaamaan tilojen suojausta vaarantavia tekoja.</v>
      </c>
      <c r="D40" s="38">
        <f>'Hankintaehtojen määrittely'!G40</f>
        <v>0</v>
      </c>
      <c r="E40" s="57">
        <f t="shared" si="0"/>
        <v>0</v>
      </c>
    </row>
    <row r="41" spans="1:5" ht="87.6">
      <c r="A41" s="53" t="str">
        <f>Kriteeristö!U41</f>
        <v>FYY-03, L:Salassa pidettävä, E:, S:, TS:Erityinen henkilötietoryhmä</v>
      </c>
      <c r="B41" s="38" t="str">
        <f>Kriteeristö!L41</f>
        <v xml:space="preserve">Tiedon käsittely 
</v>
      </c>
      <c r="C41" s="53" t="str">
        <f>_xlfn.CONCAT('Hankintaehtojen määrittely'!C41,CHAR(10),'Hankintaehtojen määrittely'!D41)</f>
        <v>Tietoja on käsiteltävä siten, että pääsy niihin suojataan sivullisilta.
Toimittajan on käsiteltävä toimeksiantoon liittyviä salassa pidettäviä tietoja siten, että pääsy tietoihin on vain tietoon oikeutetuilla (esimerkiksi erikseen toimeksiantoon hyväksytyt henkilöt).</v>
      </c>
      <c r="D41" s="38">
        <f>'Hankintaehtojen määrittely'!G41</f>
        <v>0</v>
      </c>
      <c r="E41" s="57">
        <f t="shared" si="0"/>
        <v>0</v>
      </c>
    </row>
    <row r="42" spans="1:5" ht="50.1">
      <c r="A42" s="53" t="str">
        <f>Kriteeristö!U42</f>
        <v>FYY-03.1, L:TL I, E:, S:, TS:</v>
      </c>
      <c r="B42" s="38" t="str">
        <f>Kriteeristö!L42</f>
        <v xml:space="preserve">Tiedon käsittely - TL I 
</v>
      </c>
      <c r="C42" s="53" t="str">
        <f>_xlfn.CONCAT('Hankintaehtojen määrittely'!C42,CHAR(10),'Hankintaehtojen määrittely'!D42)</f>
        <v xml:space="preserve">Turvallisuusluokan I asiakirjaa saa käsitellä ainoastaan turva-alueella.
</v>
      </c>
      <c r="D42" s="38">
        <f>'Hankintaehtojen määrittely'!G42</f>
        <v>0</v>
      </c>
      <c r="E42" s="57">
        <f t="shared" si="0"/>
        <v>0</v>
      </c>
    </row>
    <row r="43" spans="1:5" ht="99.95">
      <c r="A43" s="53" t="str">
        <f>Kriteeristö!U43</f>
        <v>FYY-04, L:Salassa pidettävä, E:, S:, TS:Erityinen henkilötietoryhmä</v>
      </c>
      <c r="B43" s="38" t="str">
        <f>Kriteeristö!L43</f>
        <v xml:space="preserve">Tiedon säilytys 
</v>
      </c>
      <c r="C43" s="53" t="str">
        <f>_xlfn.CONCAT('Hankintaehtojen määrittely'!C43,CHAR(10),'Hankintaehtojen määrittely'!D43)</f>
        <v>Tietoja on säilytettävä siten, että pääsy niihin suojataan sivullisilta.
Toimittajan on säilytettävä toimeksiantoon liittyviä tietoja siten, että niihin on pääsyt vain tietoon oikeutetuilla (esimerkiksi erikseen toimeksiantoon hyväksytyt henkilöt).
Lisäksi toimittajan on noudattava tilaajan antamia erillisiä ohjeita tietojen säilytyksestä eri tasoille luokitelluille tiedoille.</v>
      </c>
      <c r="D43" s="38">
        <f>'Hankintaehtojen määrittely'!G43</f>
        <v>0</v>
      </c>
      <c r="E43" s="57">
        <f t="shared" si="0"/>
        <v>0</v>
      </c>
    </row>
    <row r="44" spans="1:5" ht="312.60000000000002">
      <c r="A44" s="53" t="str">
        <f>Kriteeristö!U44</f>
        <v>FYY-04.1, L:TL IV, E:, S:, TS:</v>
      </c>
      <c r="B44" s="38" t="str">
        <f>Kriteeristö!L44</f>
        <v xml:space="preserve">Tiedon säilytys - TL IV
</v>
      </c>
      <c r="C44" s="53" t="str">
        <f>_xlfn.CONCAT('Hankintaehtojen määrittely'!C44,CHAR(10),'Hankintaehtojen määrittely'!D44)</f>
        <v>Organisaatio säilyttää paperiasiakirjat ja muut ei sähköisessä muodossa olevat tiedot
- turva-alueella tai hallinnollisella alueella soveltuvaksi arvioidussa toimistokalusteessa tai
- tilapäisesti turvallisuusalueiden ulkopuolella jos tiedon käsittelijä on sitoutunut noudattamaan annetuissa turvallisuusohjeissa määrättyjä korvaavia toimenpiteitä.
Organisaatio säilyttää sähköisessä muodossa olevat tiedot 
- turva-alueella tai hallinnollisella alueella vaatimukset täyttävässä laitteessa tai sähköisessä tietovälineessä tai 
- turvallisuusalueiden ulkopuolella vaatimukset täyttävässä päätelaitteessa  tai sähköisessä tietovälineessä valvotussa tilassa tai soveltuvassa lukitussa toimistokalusteessa turvapussissa tai vastaavalla tavalla.
Säilytysyksikön on oltava sellainen, että luvattomasta tunkeutumisesta jää jälki.
Toimittajan tulee hyväksyttää säilytysratkaisut ja tietovälineet tilaajalta.
Toimittaja noudattaa tilaajan määrittelemiä menettelyitä, jos työskennellään organisaation määrittelemien turvallisuusalueiden ulkopuolella.</v>
      </c>
      <c r="D44" s="38">
        <f>'Hankintaehtojen määrittely'!G44</f>
        <v>0</v>
      </c>
      <c r="E44" s="57">
        <f t="shared" si="0"/>
        <v>0</v>
      </c>
    </row>
    <row r="45" spans="1:5" ht="99.95">
      <c r="A45" s="53" t="str">
        <f>Kriteeristö!U45</f>
        <v>FYY-04.2, L:TL IV, E:, S:, TS:</v>
      </c>
      <c r="B45" s="38" t="str">
        <f>Kriteeristö!L45</f>
        <v xml:space="preserve">Tiedon säilytys - Tietovarannot ja tietojärjestelmät - TL IV
</v>
      </c>
      <c r="C45" s="53" t="str">
        <f>_xlfn.CONCAT('Hankintaehtojen määrittely'!C45,CHAR(10),'Hankintaehtojen määrittely'!D45)</f>
        <v>Turvallisuusluokan IV asiakirjoja sisältävät tietovarannot ja näiden asiakirjojen käsittelyyn käytetyt tietojärjestelmät on sijoitettava turvallisuusalueelle (hallinnollinen alue tai turva-alue).
Toimittajan tulee hyväksyttää TL IV tason tietovarantojen ja tietojärjestelmien säilytykseen käytettävät turvallisuusalueet tilaajalla.</v>
      </c>
      <c r="D45" s="38">
        <f>'Hankintaehtojen määrittely'!G45</f>
        <v>0</v>
      </c>
      <c r="E45" s="57">
        <f t="shared" si="0"/>
        <v>0</v>
      </c>
    </row>
    <row r="46" spans="1:5" ht="87.6">
      <c r="A46" s="53" t="str">
        <f>Kriteeristö!U46</f>
        <v>FYY-04.3, L:TL III, E:, S:, TS:</v>
      </c>
      <c r="B46" s="38" t="str">
        <f>Kriteeristö!L46</f>
        <v xml:space="preserve">Tiedon säilytys - Tietovarannot ja tietojärjestelmät - TL III 
</v>
      </c>
      <c r="C46" s="53" t="str">
        <f>_xlfn.CONCAT('Hankintaehtojen määrittely'!C46,CHAR(10),'Hankintaehtojen määrittely'!D46)</f>
        <v>Turvallisuusluokan II tai III asiakirjoja sisältävät tietovarannot ja näiden asiakirjojen käsittelyyn käytetyt tietojärjestelmät on sijoitettava turva-alueelle.
Toimittajan tulee hyväksyttää TL III tason tietovarantojen ja tietojärjestelmien säilytykseen käytettävät turva-alueet tilaajalla.</v>
      </c>
      <c r="D46" s="38">
        <f>'Hankintaehtojen määrittely'!G46</f>
        <v>0</v>
      </c>
      <c r="E46" s="57">
        <f t="shared" si="0"/>
        <v>0</v>
      </c>
    </row>
    <row r="47" spans="1:5" ht="237.6">
      <c r="A47" s="53" t="str">
        <f>Kriteeristö!U47</f>
        <v>FYY-04.4, L:TL III, E:, S:, TS:</v>
      </c>
      <c r="B47" s="38" t="str">
        <f>Kriteeristö!L47</f>
        <v xml:space="preserve">Tiedon säilytys - TL III
</v>
      </c>
      <c r="C47" s="53" t="str">
        <f>_xlfn.CONCAT('Hankintaehtojen määrittely'!C47,CHAR(10),'Hankintaehtojen määrittely'!D47)</f>
        <v>Organisaatio säilyttää paperiasiakirjat ja muut ei sähköisessä muodossa olevat tiedot turva-alueella soveltuvaksi arvioidussa säilytysratkaisussa.
Organisaatio säilyttää sähköisessä muodossa olevat tiedot 
- turva-alueella vaatimukset täyttävässä laitteessa tai  sähköisessä tietovälineessä tai
- turva-alueiden ulkopuolella vaatimukset täyttävässä päätelaitteessa valvotussa tilassa tai soveltuvassa lukitussa toimistokalusteessa turvapussissa tai vastaavalla tavalla.
Soveltuva säilytysratkaisu TL III tason tiedoille on turva-alueelle sijoitettu kassakaappi tai tilaajan erikseen määrittelemä säilytysratkaisu
Tilaaja ohjeistaa erikseen turva-alueiden ulkopuolella käytettävät säilytysratkaisut TL III tason tiedoille.
Toimittajan tulee hyväksyttää TL III tason tietojen  säilytykseen käytettävät turva-alueet ja säilytysratkaisut tilaajalla.</v>
      </c>
      <c r="D47" s="38">
        <f>'Hankintaehtojen määrittely'!G47</f>
        <v>0</v>
      </c>
      <c r="E47" s="57">
        <f t="shared" si="0"/>
        <v>0</v>
      </c>
    </row>
    <row r="48" spans="1:5" ht="162.6">
      <c r="A48" s="53" t="str">
        <f>Kriteeristö!U48</f>
        <v>FYY-04.5, L:TL II, E:, S:, TS:</v>
      </c>
      <c r="B48" s="38" t="str">
        <f>Kriteeristö!L48</f>
        <v xml:space="preserve">Tiedon säilytys - TL II
</v>
      </c>
      <c r="C48" s="53" t="str">
        <f>_xlfn.CONCAT('Hankintaehtojen määrittely'!C48,CHAR(10),'Hankintaehtojen määrittely'!D48)</f>
        <v>Organisaatio säilyttää paperiasiakirjat ja muut ei sähköisessä muodossa olevat tiedot turva-alueella soveltuvaksi arvioidussa säilytysratkaisussa.
Organisaatio säilyttää sähköisessä muodossa olevat tiedot turva-alueella vaatimukset täyttävässä laitteessa tai sähköisessä tietovälineessä.
Soveltuva säilytysratkaisu TL II tason tiedoille on kassakaappi tai tilaajan erikseen määrittelemä säilytysratkaisu.
Toimittajan tulee hyväksyttää TL II tason tietojen  säilytykseen käytettävät turva-alueet ja säilytysratkaisut tilaajalla</v>
      </c>
      <c r="D48" s="38">
        <f>'Hankintaehtojen määrittely'!G48</f>
        <v>0</v>
      </c>
      <c r="E48" s="57">
        <f t="shared" si="0"/>
        <v>0</v>
      </c>
    </row>
    <row r="49" spans="1:5" ht="50.1">
      <c r="A49" s="53" t="str">
        <f>Kriteeristö!U49</f>
        <v>FYY-04.6, L:TL I, E:, S:, TS:</v>
      </c>
      <c r="B49" s="38" t="str">
        <f>Kriteeristö!L49</f>
        <v xml:space="preserve">Tiedon säilytys - TL I
</v>
      </c>
      <c r="C49" s="53" t="str">
        <f>_xlfn.CONCAT('Hankintaehtojen määrittely'!C49,CHAR(10),'Hankintaehtojen määrittely'!D49)</f>
        <v xml:space="preserve">Turvallisuusluokan I asiakirjaa saa säilyttää ainoastaan turva-alueella.
</v>
      </c>
      <c r="D49" s="38">
        <f>'Hankintaehtojen määrittely'!G49</f>
        <v>0</v>
      </c>
      <c r="E49" s="57">
        <f t="shared" si="0"/>
        <v>0</v>
      </c>
    </row>
    <row r="50" spans="1:5" ht="112.5">
      <c r="A50" s="53" t="str">
        <f>Kriteeristö!U50</f>
        <v>FYY-05, L:Salassa pidettävä, E:, S:, TS:Erityinen henkilötietoryhmä</v>
      </c>
      <c r="B50" s="38" t="str">
        <f>Kriteeristö!L50</f>
        <v>Turvallisuusalue</v>
      </c>
      <c r="C50" s="53" t="str">
        <f>_xlfn.CONCAT('Hankintaehtojen määrittely'!C50,CHAR(10),'Hankintaehtojen määrittely'!D50)</f>
        <v>Turvallisuusalueiden eli hallinnollisten alueiden sekä turva-alueiden on noudatettava tässä kriteerissä annettuja suosituksia.
Toimittajan on noudatettava tilojen suojaamisessa tässä vaatimuksessa ja sen alivaatimuksissa asetettuja vaatimuksia.
Turvallisuusalueella tarkoitetaan tilaa, jossa toimeksiantoon liittyviä salassa pidettäviä tietoja käsitellään ja/tai säilytetään.</v>
      </c>
      <c r="D50" s="38">
        <f>'Hankintaehtojen määrittely'!G50</f>
        <v>0</v>
      </c>
      <c r="E50" s="57">
        <f t="shared" si="0"/>
        <v>0</v>
      </c>
    </row>
    <row r="51" spans="1:5" ht="162.6">
      <c r="A51" s="53" t="str">
        <f>Kriteeristö!U51</f>
        <v>FYY-05.1, L:TL IV, E:, S:, TS:</v>
      </c>
      <c r="B51" s="38" t="str">
        <f>Kriteeristö!L51</f>
        <v>Turvallisuusalue - Äänieristys</v>
      </c>
      <c r="C51" s="53" t="str">
        <f>_xlfn.CONCAT('Hankintaehtojen määrittely'!C51,CHAR(10),'Hankintaehtojen määrittely'!D51)</f>
        <v xml:space="preserve">Alueen äänieristyksen tulee estää asiaan kuulumattomia henkilöitä kuulemasta selväsanaisena suojattavaan tietoon liittyviä keskusteluja. Äänieristys tulee ottaa huomioon myös alueen sisällä, mikäli siellä keskustellaan suojattavista tiedoista, joihin kaikilla ei ole tiedonsaantitarvetta.
Toimittajan on huomioitava äänieristys, kun käsitellään toimeksiantoon liittyviä tietoja.
Äänieristyksen tulee estää tietoon oikeudettomien henkilöiden kuulemasta selväsanaisena toimeksiantoon liittyviä  keskusteluita.
</v>
      </c>
      <c r="D51" s="38">
        <f>'Hankintaehtojen määrittely'!G51</f>
        <v>0</v>
      </c>
      <c r="E51" s="57">
        <f t="shared" si="0"/>
        <v>0</v>
      </c>
    </row>
    <row r="52" spans="1:5" ht="150">
      <c r="A52" s="53" t="str">
        <f>Kriteeristö!U52</f>
        <v>FYY-05.2, L:Salassa pidettävä, E:, S:, TS:Erityinen henkilötietoryhmä</v>
      </c>
      <c r="B52" s="38" t="str">
        <f>Kriteeristö!L52</f>
        <v>Turvallisuusalue - Salaa katselun estäminen</v>
      </c>
      <c r="C52" s="53" t="str">
        <f>_xlfn.CONCAT('Hankintaehtojen määrittely'!C52,CHAR(10),'Hankintaehtojen määrittely'!D52)</f>
        <v>Jos tietoihin kohdistuu salaa tai vahingossa  katselun riski, on riskin torjumiseksi tehtävä asianmukaiset toimenpiteet.
Toimeksiantoon liittyvän aineiston salaa katselu, vahingossa tapahtuva mukaan lukien, käsittelyn aikana on estettävä. 
Tilan lasipinnat on suojattava sälekaihtimilla, verhoilla tai kiinteillä kalvoilla.
Salaa katselun riskiä voidaan pienentää myös esimerkiksi työpisteiden sijoittelun ja näkösuojasermien avulla sekä käyttämällä tietokoneen näytönsuojia.</v>
      </c>
      <c r="D52" s="38">
        <f>'Hankintaehtojen määrittely'!G52</f>
        <v>0</v>
      </c>
      <c r="E52" s="57">
        <f t="shared" si="0"/>
        <v>0</v>
      </c>
    </row>
    <row r="53" spans="1:5" ht="174.95">
      <c r="A53" s="53" t="str">
        <f>Kriteeristö!U53</f>
        <v>FYY-05.3, L:TL II, E:, S:, TS:</v>
      </c>
      <c r="B53" s="38" t="str">
        <f>Kriteeristö!L53</f>
        <v>Turvallisuusalue - Tila- ja laitetarkastukset</v>
      </c>
      <c r="C53" s="53" t="str">
        <f>_xlfn.CONCAT('Hankintaehtojen määrittely'!C53,CHAR(10),'Hankintaehtojen määrittely'!D53)</f>
        <v xml:space="preserve">Organisaation on tarkastettava kaikki elektroniset laitteet, ennen kuin niitä käytetään sellaisella alueella, jossa käsitellään turvallisuusluokan II tietoja, mikäli tietoihin kohdistuva uhka arvioidaan korkeaksi.
Myös alue on tarkastettava fyysisesti tai teknisesti säännöllisin väliajoin sekä mahdollisen luvattoman sisäänpääsyn tai sen epäilyn johdosta.
Toimittajan on huolehdittava, että tiloissa joissa käsitellään turvallisuusluokan II tietoja (tai tilaajan määrittelemiä tietoja), käytetään vain sellaisia laitteita jotka tilaajaon erikseen hyväksynyt.
</v>
      </c>
      <c r="D53" s="38">
        <f>'Hankintaehtojen määrittely'!G53</f>
        <v>0</v>
      </c>
      <c r="E53" s="57">
        <f t="shared" si="0"/>
        <v>0</v>
      </c>
    </row>
    <row r="54" spans="1:5" ht="200.1">
      <c r="A54" s="53" t="str">
        <f>Kriteeristö!U54</f>
        <v>FYY-05.4, L:Salassa pidettävä, E:, S:, TS:Erityinen henkilötietoryhmä</v>
      </c>
      <c r="B54" s="38" t="str">
        <f>Kriteeristö!L54</f>
        <v>Turvallisuusalue - Pääsyoikeuksien ja avaintenhallinnan menettelyt</v>
      </c>
      <c r="C54" s="53" t="str">
        <f>_xlfn.CONCAT('Hankintaehtojen määrittely'!C54,CHAR(10),'Hankintaehtojen määrittely'!D54)</f>
        <v>Organisaation on määriteltävä alueen pääsyoikeuksien ja avainhallinnan menettelyt ja roolit.
Toimittaja on määritellyt ja ottanut käyttöön ainakin seuraavat pääsyoikeuksien ja avainhallinnan menettelyt ja roolit: 
1. Pääsyoikeuksien ja avainten hallinnan menettelytavat ja roolit on luotu, dokumentoitu ja ohjeistettu. 
2. Pääsyoikeuksien ja avainten haltijoista on lista. 
3. Pääsyoikeudet tarkastetaan säännöllisesti esimerkiksi 6 kuukauden välein ja ne pidetään ajan tasalla.
4. Avainten ja kulkutunnisteiden lisätilauksia ja muutoksia koskevat toimet ovat vastuutettu.
Käytössä olevilla avaimilla on oltava voimassa oleva patenttisuojaus.</v>
      </c>
      <c r="D54" s="38">
        <f>'Hankintaehtojen määrittely'!G54</f>
        <v>0</v>
      </c>
      <c r="E54" s="57">
        <f t="shared" si="0"/>
        <v>0</v>
      </c>
    </row>
    <row r="55" spans="1:5" ht="137.44999999999999">
      <c r="A55" s="53" t="str">
        <f>Kriteeristö!U55</f>
        <v>FYY-05.5, L:TL IV, E:, S:, TS:</v>
      </c>
      <c r="B55" s="38" t="str">
        <f>Kriteeristö!L55</f>
        <v>Turvallisuusalue - Vierailijat</v>
      </c>
      <c r="C55" s="53" t="str">
        <f>_xlfn.CONCAT('Hankintaehtojen määrittely'!C55,CHAR(10),'Hankintaehtojen määrittely'!D55)</f>
        <v>Muilla kuin organisaation asianmukaisesti valtuuttamilla henkilöillä (vierailijoilla) on aina saattaja.
Toimittajan on huolehdittava, että muilla kuin toimittajan erikseen valtuuttamilla henkilöillä (vierailijat) on aina saattaja, kun liikutaan tiloissa joissa käsitellään toimeksiantoon liittyviä tietoja.
Vierailijoista on pidettävä kirjaa, josta ilmenee vähintään vierailijan nimi, vierailun syy, saattaja sekä vierailun ajankohta</v>
      </c>
      <c r="D55" s="38">
        <f>'Hankintaehtojen määrittely'!G55</f>
        <v>0</v>
      </c>
      <c r="E55" s="57">
        <f t="shared" si="0"/>
        <v>0</v>
      </c>
    </row>
    <row r="56" spans="1:5" ht="112.5">
      <c r="A56" s="53" t="str">
        <f>Kriteeristö!U56</f>
        <v>FYY-06, L:Salassa pidettävä, E:, S:, TS:</v>
      </c>
      <c r="B56" s="38" t="str">
        <f>Kriteeristö!L56</f>
        <v>Hallinnollinen alue</v>
      </c>
      <c r="C56" s="53" t="str">
        <f>_xlfn.CONCAT('Hankintaehtojen määrittely'!C56,CHAR(10),'Hankintaehtojen määrittely'!D56)</f>
        <v xml:space="preserve">Hallinnollisen alueen tulee täyttää tässä osiossa esitetyt suositukset sekä riskilähtöisesti arvioidut tarkennukset siten, että turvatoimien tavoitteet saavutetaan.
Toimittajan käytössä olevan alueen, kuten esimerkiksi toimistotilojen, jossa käsitellään ja/tai säilytetään toimeksiantoon liittyviä tietoja, tulee täyttää tässä vaatimuksessa ja sen alivaatimuksissa asetetut vaatimukset.
</v>
      </c>
      <c r="D56" s="38">
        <f>'Hankintaehtojen määrittely'!G56</f>
        <v>0</v>
      </c>
      <c r="E56" s="57">
        <f t="shared" si="0"/>
        <v>0</v>
      </c>
    </row>
    <row r="57" spans="1:5" ht="62.45">
      <c r="A57" s="53" t="str">
        <f>Kriteeristö!U57</f>
        <v>FYY-06.1, L:TL IV, E:, S:, TS:</v>
      </c>
      <c r="B57" s="38" t="str">
        <f>Kriteeristö!L57</f>
        <v xml:space="preserve">Hallinnollinen alue - alueen raja ja rakenteet </v>
      </c>
      <c r="C57" s="53" t="str">
        <f>_xlfn.CONCAT('Hankintaehtojen määrittely'!C57,CHAR(10),'Hankintaehtojen määrittely'!D57)</f>
        <v xml:space="preserve">Alueella on oltava selkeästi määritelty näkyvä raja, mutta aluetta rajaavalle rakenteelle (seinät, ovet ja ikkunat sekä lattia- ja kattorakenteet) ei aseteta erityisiä vaatimuksia.
</v>
      </c>
      <c r="D57" s="38">
        <f>'Hankintaehtojen määrittely'!G57</f>
        <v>0</v>
      </c>
      <c r="E57" s="57">
        <f t="shared" si="0"/>
        <v>0</v>
      </c>
    </row>
    <row r="58" spans="1:5" ht="62.45">
      <c r="A58" s="53" t="str">
        <f>Kriteeristö!U58</f>
        <v>FYY-06.2, L:TL IV, E:, S:, TS:</v>
      </c>
      <c r="B58" s="38" t="str">
        <f>Kriteeristö!L58</f>
        <v>Hallinnollinen alue - kulunvalvonta</v>
      </c>
      <c r="C58" s="53" t="str">
        <f>_xlfn.CONCAT('Hankintaehtojen määrittely'!C58,CHAR(10),'Hankintaehtojen määrittely'!D58)</f>
        <v>Alueelle pääsyä tulee valvoa, mikäli se on riskien arvioinnin perusteella tarkoituksenmukaista.
Alueelle pääsyä voidaan valvoa esimerkiksi kulunvalvontajärjestelmällä.</v>
      </c>
      <c r="D58" s="38">
        <f>'Hankintaehtojen määrittely'!G58</f>
        <v>0</v>
      </c>
      <c r="E58" s="57">
        <f t="shared" si="0"/>
        <v>0</v>
      </c>
    </row>
    <row r="59" spans="1:5" ht="99.95">
      <c r="A59" s="53" t="str">
        <f>Kriteeristö!U59</f>
        <v>FYY-06.3, L:Salassa pidettävä, E:, S:, TS:</v>
      </c>
      <c r="B59" s="38" t="str">
        <f>Kriteeristö!L59</f>
        <v xml:space="preserve">Hallinnollinen alue - pääsyoikeuksien myöntäminen </v>
      </c>
      <c r="C59" s="53" t="str">
        <f>_xlfn.CONCAT('Hankintaehtojen määrittely'!C59,CHAR(10),'Hankintaehtojen määrittely'!D59)</f>
        <v xml:space="preserve">Ainoastaan asianmukaisesti valtuutetuilla henkilöillä on itsenäinen pääsy alueelle. Itsenäisen pääsyn alueelle voi myöntää tiedoista vastaava organisaatio tai sovituilla menettelyillä fyysisen tilan hallinnasta vastaava palvelun tuottaja, kuten esimerkiksi pilvipalvelun toimittaja. 
</v>
      </c>
      <c r="D59" s="38">
        <f>'Hankintaehtojen määrittely'!G59</f>
        <v>0</v>
      </c>
      <c r="E59" s="57">
        <f t="shared" si="0"/>
        <v>0</v>
      </c>
    </row>
    <row r="60" spans="1:5" ht="87.6">
      <c r="A60" s="53" t="str">
        <f>Kriteeristö!U60</f>
        <v>FYY-06.4, L:TL IV, E:, S:, TS:</v>
      </c>
      <c r="B60" s="38" t="str">
        <f>Kriteeristö!L60</f>
        <v>Hallinnollinen alue - tunkeutumisen ilmaisujärjestelmät</v>
      </c>
      <c r="C60" s="53" t="str">
        <f>_xlfn.CONCAT('Hankintaehtojen määrittely'!C60,CHAR(10),'Hankintaehtojen määrittely'!D60)</f>
        <v>Tarvittaessa tunkeutumisen ilmaisujärjestelmää voidaan käyttää täydentävänä monitasoisen suojauksen riskienhallintakeinona.
Tiloja, joissa säilytetään toimeksiantoon liittyviä tietoja, voidaan valvoa tunkeutumisen ilmaisujärjestelmällä tilaajan antaman erillisohjeistuksen mukaisesti.</v>
      </c>
      <c r="D60" s="38">
        <f>'Hankintaehtojen määrittely'!G60</f>
        <v>0</v>
      </c>
      <c r="E60" s="57">
        <f t="shared" si="0"/>
        <v>0</v>
      </c>
    </row>
    <row r="61" spans="1:5" ht="87.6">
      <c r="A61" s="53" t="str">
        <f>Kriteeristö!U61</f>
        <v>FYY-07, L:TL III, E:, S:, TS:</v>
      </c>
      <c r="B61" s="38" t="str">
        <f>Kriteeristö!L61</f>
        <v>Turva-alue</v>
      </c>
      <c r="C61" s="53" t="str">
        <f>_xlfn.CONCAT('Hankintaehtojen määrittely'!C61,CHAR(10),'Hankintaehtojen määrittely'!D61)</f>
        <v>Turva-alueen tulee täyttää tässä osiossa esitetyt suositukset sekä riskilähtöisesti arvioidut lisätarkennukset siten, että monitasoisen suojauksen tavoitteet saavutetaan.
Turva-alueella tarkoitetaan normaaleja toimistotiloja paremmin suojattuja alueita, joiden tulee täyttää tässä vaatimuksessa ja sen alivaatimuksissa asetetut vaatimukset.</v>
      </c>
      <c r="D61" s="38">
        <f>'Hankintaehtojen määrittely'!G61</f>
        <v>0</v>
      </c>
      <c r="E61" s="57">
        <f t="shared" si="0"/>
        <v>0</v>
      </c>
    </row>
    <row r="62" spans="1:5" ht="87.6">
      <c r="A62" s="53" t="str">
        <f>Kriteeristö!U62</f>
        <v>FYY-07.1, L:TL III, E:, S:, TS:</v>
      </c>
      <c r="B62" s="38" t="str">
        <f>Kriteeristö!L62</f>
        <v xml:space="preserve">Turva-alue - alueen raja ja rakenteet </v>
      </c>
      <c r="C62" s="53" t="str">
        <f>_xlfn.CONCAT('Hankintaehtojen määrittely'!C62,CHAR(10),'Hankintaehtojen määrittely'!D62)</f>
        <v xml:space="preserve">Alueella on oltava selkeästi määritelty näkyvä raja. Mikäli alueella ei ole tiedon säilytykseen riittäväksi arvioitua säilytysratkaisua, on alueen seinien, lattian, katon, ikkunoiden ja ovien tarjottava tietojen säilytyksen edellyttämä turvallisuustaso.
</v>
      </c>
      <c r="D62" s="38">
        <f>'Hankintaehtojen määrittely'!G62</f>
        <v>0</v>
      </c>
      <c r="E62" s="57">
        <f t="shared" si="0"/>
        <v>0</v>
      </c>
    </row>
    <row r="63" spans="1:5" ht="62.45">
      <c r="A63" s="53" t="str">
        <f>Kriteeristö!U63</f>
        <v>FYY-07.2, L:TL III, E:, S:, TS:</v>
      </c>
      <c r="B63" s="38" t="str">
        <f>Kriteeristö!L63</f>
        <v>Turva-alue - kulunvalvonta</v>
      </c>
      <c r="C63" s="53" t="str">
        <f>_xlfn.CONCAT('Hankintaehtojen määrittely'!C63,CHAR(10),'Hankintaehtojen määrittely'!D63)</f>
        <v>Alueen rajalla tulee valvoa kaikkea kulkua sisään ja ulos kulkulupien avulla tai tunnistamalla henkilöt henkilökohtaisesti.
Valvontaa voidaan toteuttaa esimerkiksi kulunvalvontajärjestelmän avulla.</v>
      </c>
      <c r="D63" s="38">
        <f>'Hankintaehtojen määrittely'!G63</f>
        <v>0</v>
      </c>
      <c r="E63" s="57">
        <f t="shared" si="0"/>
        <v>0</v>
      </c>
    </row>
    <row r="64" spans="1:5" ht="87.6">
      <c r="A64" s="53" t="str">
        <f>Kriteeristö!U64</f>
        <v>FYY-07.3, L:TL III, E:, S:, TS:</v>
      </c>
      <c r="B64" s="38" t="str">
        <f>Kriteeristö!L64</f>
        <v xml:space="preserve">Turva-alue - pääsyoikeuksien myöntäminen </v>
      </c>
      <c r="C64" s="53" t="str">
        <f>_xlfn.CONCAT('Hankintaehtojen määrittely'!C64,CHAR(10),'Hankintaehtojen määrittely'!D64)</f>
        <v>Itsenäinen pääsyoikeus alueelle voidaan myöntää vain organisaation asianmukaisesti valtuuttamalle henkilölle, jonka luotettavuus on varmistettu ja jolla on erityinen lupa tulla alueelle.
Toimittaja noudattaa tilaajan määrittelemiä vaatimuksia pääsyoikeuksien myöntämisessä.</v>
      </c>
      <c r="D64" s="38">
        <f>'Hankintaehtojen määrittely'!G64</f>
        <v>0</v>
      </c>
      <c r="E64" s="57">
        <f t="shared" si="0"/>
        <v>0</v>
      </c>
    </row>
    <row r="65" spans="1:5" ht="212.45">
      <c r="A65" s="53" t="str">
        <f>Kriteeristö!U65</f>
        <v>FYY-07.4, L:TL III, E:, S:, TS:</v>
      </c>
      <c r="B65" s="38" t="str">
        <f>Kriteeristö!L65</f>
        <v>Turva-alue - vierailijat</v>
      </c>
      <c r="C65" s="53" t="str">
        <f>_xlfn.CONCAT('Hankintaehtojen määrittely'!C65,CHAR(10),'Hankintaehtojen määrittely'!D65)</f>
        <v>Jos turva-alueelle tulo merkitsee käytännössä välitöntä pääsyä siellä oleviin turvallisuusluokiteltuihin tietoihin:
-  alueella tavanomaisesti säilytettyjen tietojen korkein turvallisuusluokka on ilmoitettava selkeästi sekä 
- kaikilla vierailijoilla on oltava erityinen lupa tulla alueelle, heillä on aina oltava saattaja ja heidän luotettavuutensa on oltava varmistettu asianmukaisesti, paitsi jos on varmistettu, ettei vierailijoilla ole pääsyä turvallisuusluokiteltuihin tietoihin.
Toimittajan on huolehdittava, että muilla kuin toimittajan erikseen valtuuttamilla henkilöillä (vierailijat) on aina saattaja, kun liikutaan tiloissa joissa käsitellään turvallisuusluokiteltavia tietoja.
Vierailijoista on pidettävä kirjaa, josta ilmenee vähintään vierailijan nimi, vierailun syy, saattaja sekä vierailun ajankohta</v>
      </c>
      <c r="D65" s="38">
        <f>'Hankintaehtojen määrittely'!G65</f>
        <v>0</v>
      </c>
      <c r="E65" s="57">
        <f t="shared" si="0"/>
        <v>0</v>
      </c>
    </row>
    <row r="66" spans="1:5" ht="50.1">
      <c r="A66" s="53" t="str">
        <f>Kriteeristö!U66</f>
        <v>FYY-07.5, L:TL III, E:, S:, TS:</v>
      </c>
      <c r="B66" s="38" t="str">
        <f>Kriteeristö!L66</f>
        <v>Turva-alue - turvallisuusohjeet</v>
      </c>
      <c r="C66" s="53" t="str">
        <f>_xlfn.CONCAT('Hankintaehtojen määrittely'!C66,CHAR(10),'Hankintaehtojen määrittely'!D66)</f>
        <v xml:space="preserve">Kullekin turva-alueelle on laadittava ohjeet noudatettavista turvallisuusmenettelyistä.
</v>
      </c>
      <c r="D66" s="38">
        <f>'Hankintaehtojen määrittely'!G66</f>
        <v>0</v>
      </c>
      <c r="E66" s="57">
        <f t="shared" si="0"/>
        <v>0</v>
      </c>
    </row>
    <row r="67" spans="1:5" ht="87.6">
      <c r="A67" s="53" t="str">
        <f>Kriteeristö!U67</f>
        <v>FYY-07.6, L:TL III, E:, S:, TS:</v>
      </c>
      <c r="B67" s="38" t="str">
        <f>Kriteeristö!L67</f>
        <v>Turva-alue - tunkeutumisen ilmaisujärjestelmät</v>
      </c>
      <c r="C67" s="53" t="str">
        <f>_xlfn.CONCAT('Hankintaehtojen määrittely'!C67,CHAR(10),'Hankintaehtojen määrittely'!D67)</f>
        <v xml:space="preserve">Alue, jolla ei ole henkilöstöä palveluksessa vuorokauden ympäri, on tarvittaessa tarkastettava normaalin työajan päätteeksi ja satunnaisiin aikoihin työajan ulkopuolella, paitsi jos alueelle on asennettu tunkeutumisen ilmaisujärjestelmä (murtohälytysjärjestelmä).
</v>
      </c>
      <c r="D67" s="38">
        <f>'Hankintaehtojen määrittely'!G67</f>
        <v>0</v>
      </c>
      <c r="E67" s="57">
        <f t="shared" si="0"/>
        <v>0</v>
      </c>
    </row>
    <row r="68" spans="1:5" ht="409.5">
      <c r="A68" s="53" t="str">
        <f>Kriteeristö!U68</f>
        <v>FYY-07.7, L:TL III, E:, S:, TS:</v>
      </c>
      <c r="B68" s="38" t="str">
        <f>Kriteeristö!L68</f>
        <v>Turva-alue - säilytysyksiköiden avaimet ja pääsykoodit</v>
      </c>
      <c r="C68" s="53" t="str">
        <f>_xlfn.CONCAT('Hankintaehtojen määrittely'!C68,CHAR(10),'Hankintaehtojen määrittely'!D68)</f>
        <v>Säilytysyksiköiden avaimet tai pääsykoodit ovat sellaisten henkilöiden hallussa, joilla on tiedonsaantitarve säilytysyksikössä säilytettävään tietoon. Kyseisten henkilöiden on osattava numeroyhdistelmät ulkoa. 
Turvallisuusluokiteltuja tietoja sisältävien säilytysyksiköiden numeroyhdistelmät on vaihdettava:
- tehdaskoodit on vaihdettava uuden turvallisen säilytyspaikan vastaanoton yhteydessä
- aina, kun numeroyhdistelmän tuntevassa henkilöstössä tapahtuu muutos.
- aina, kun tiedot ovat vaarantuneet tai kun niiden epäillään vaarantuneen.
- kun jokin lukoista on huollettu tai korjattu.
Mikäli toimittajan hallussa on lukittavia säilytysyksiköitä, on huomioitava seuraavat vaatimukset:
Avaimet ja pääsykoodit ovat sellaisten henkilöiden hallussa, joilla on oikeus käsitellä toimeksiantoon liittyviä turvallisuusluokiteltavia tietoja. Toimittajalla on oltava listaus luovutetuista avaimista.
Turvallisuusluokiteltavia tietoja sisältävien säilytysyksiköiden numeroyhdistelmät on vaihdettava 
1. Uuden turvallisen säilytyspaikan vastaanoton 
yhteydessä. 
2. Aina, kun numeroyhdistelmän tuntevassa henkilöstössä tapahtuu muutos. 
3. Aina, kun tiedot ovat vaarantuneet tai kun niiden epäillään vaarantuneen. 
4. Kun jokin lukoista on huollettu tai korjattu. 
5. Vähintään 12 kuukauden välein.</v>
      </c>
      <c r="D68" s="38">
        <f>'Hankintaehtojen määrittely'!G68</f>
        <v>0</v>
      </c>
      <c r="E68" s="57">
        <f t="shared" ref="E68:E131" si="1">IF(D68="Sisältyy",1,0)</f>
        <v>0</v>
      </c>
    </row>
    <row r="69" spans="1:5" ht="137.44999999999999">
      <c r="A69" s="53" t="str">
        <f>Kriteeristö!U69</f>
        <v>FYY-08, L:Salassa pidettävä, E:, S:, TS:Erityinen henkilötietoryhmä</v>
      </c>
      <c r="B69" s="38" t="str">
        <f>Kriteeristö!L69</f>
        <v>Tietojen kuljettaminen</v>
      </c>
      <c r="C69" s="53" t="str">
        <f>_xlfn.CONCAT('Hankintaehtojen määrittely'!C69,CHAR(10),'Hankintaehtojen määrittely'!D69)</f>
        <v xml:space="preserve">1. Tiedot tulee kuljettaa tietojen riittävän suojaamisen huomioivia, organisaation ohjeita noudattaen.  
2. Tiedot on pakattava niin, että ne on suojattu luvattomalta ilmitulolta. 
3. Tietoja saa kuljettaa turvallisuusalueiden ulkopuolelle suojaamalla sähköiset tietovälineet riittävän turvallisella salauksella.
4. Salaamattomia tietoja voidaan kuljettaa postipalvelujen välityksellä.
</v>
      </c>
      <c r="D69" s="38">
        <f>'Hankintaehtojen määrittely'!G69</f>
        <v>0</v>
      </c>
      <c r="E69" s="57">
        <f t="shared" si="1"/>
        <v>0</v>
      </c>
    </row>
    <row r="70" spans="1:5" ht="262.5">
      <c r="A70" s="53" t="str">
        <f>Kriteeristö!U70</f>
        <v>FYY-08.1, L:TL IV, E:, S:, TS:</v>
      </c>
      <c r="B70" s="38" t="str">
        <f>Kriteeristö!L70</f>
        <v>Tietojen kuljettaminen - TL IV</v>
      </c>
      <c r="C70" s="53" t="str">
        <f>_xlfn.CONCAT('Hankintaehtojen määrittely'!C70,CHAR(10),'Hankintaehtojen määrittely'!D70)</f>
        <v>Alikriteeri tarkentaa pääkriteerin vaatimusta.
Toimittaja toteuttaa seuraavat toimenpiteet tilaajan TL IV tasolle luokiteltujen tietojen kuljettamisessa:
1) Tieto pakataan suljettavaan kirjekuoreen tai vastaavaan. Pakkauksen ulkokuoressa ei saa olla merkintää turvallisuusluokasta eikä pakkaus saa ulkoisesti muuten paljastaa sen sisältävän turvallisuusluokiteltua tietoa (kirjekuoren tai vastaavan on oltava läpinäkymätön).
2) Tieto toimitetaan kotimaassa tavallisena postina, kirjattuna kirjeenä tai ko. turvallisuusluokalle hyväksytyn menettelyn mukaisesti. Ulkomaille toimitus postin välityksellä vain viranomaisen erillishyväksyntään pohjautuen.
3) Organisaation sisäiseen postin käsittelyketjuun kuuluu vain hyväksyttyä henkilöstöä.
4) Organisaatiossa on tunnistettu vaatimukset ja toteutettu menettelyt erityissuojattavien tietojen (esimerkiksi salausavaimet) välittämiseksi.
Lisäksi toimittaja noudattaa muita tilaajan antamia ohjeita TL IV tietojen kujettamisesta.</v>
      </c>
      <c r="D70" s="38">
        <f>'Hankintaehtojen määrittely'!G70</f>
        <v>0</v>
      </c>
      <c r="E70" s="57">
        <f t="shared" si="1"/>
        <v>0</v>
      </c>
    </row>
    <row r="71" spans="1:5" ht="287.45">
      <c r="A71" s="53" t="str">
        <f>Kriteeristö!U71</f>
        <v>FYY-08.2, L:TL III, E:, S:, TS:</v>
      </c>
      <c r="B71" s="38" t="str">
        <f>Kriteeristö!L71</f>
        <v>Tietojen kuljettaminen - TL III</v>
      </c>
      <c r="C71" s="53" t="str">
        <f>_xlfn.CONCAT('Hankintaehtojen määrittely'!C71,CHAR(10),'Hankintaehtojen määrittely'!D71)</f>
        <v>Turvallisuusluokan II-III salaamaton tieto on kuljettamista varten pakattava asianmukaisesti sekä kuljetettava se jatkuvan valvonnan alaisuudessa vastaanottajalle. Mainitun tiedon saa kuljettaa vastaanottajalle myös muulla turvallisella tavalla, jolla tiedon luottamuksellisuus ja eheys varmistetaan kyseiselle turvallisuusluokalle riittävällä tavalla.
Toimittaja toteuttaa lisäksi seuraavat toimenpiteet tilaajan TL III tasolle luokiteltujen tietojen kuljettamisessa.
5)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6) Tieto toimitetaan ko. turvallisuusluokiteltuun tietoon oikeutetun organisaation henkilön toimesta jatkuvan valvonnan alaisuudessa vastaanottajalle. Vaihtoehtoisesti toimitus ko. turvallisuusluokalle hyväksytyn menettelyn mukaisesti. 
7) Organisaation sisäiseen postin käsittelyketjuun kuuluu vain hyväksyttyä turvallisuusselvitettyä henkilöstöä.
Lisäksi toimittaja noudattaa muita tilaajan antamia ohjeita TL III tietojen kujettamisesta.</v>
      </c>
      <c r="D71" s="38">
        <f>'Hankintaehtojen määrittely'!G71</f>
        <v>0</v>
      </c>
      <c r="E71" s="57">
        <f t="shared" si="1"/>
        <v>0</v>
      </c>
    </row>
    <row r="72" spans="1:5" ht="187.5">
      <c r="A72" s="53" t="str">
        <f>Kriteeristö!U72</f>
        <v>FYY-08.3, L:TL II, E:, S:, TS:</v>
      </c>
      <c r="B72" s="38" t="str">
        <f>Kriteeristö!L72</f>
        <v>Tietojen kuljettaminen - TL II</v>
      </c>
      <c r="C72" s="53" t="str">
        <f>_xlfn.CONCAT('Hankintaehtojen määrittely'!C72,CHAR(10),'Hankintaehtojen määrittely'!D72)</f>
        <v>Alikriteeri tarkentaa pääkriteerin vaatimusta.
Toimittaja toteuttaa lisäksi seuraavat toimenpiteet tilaajan TL II tasolle luokiteltujen tietojen kuljettamisessa.
8) Tieto pakataan suljettavaan kaksinkertaiseen kirjekuoreen tai vastaavaan. Pakkauksen ulkokuoressa ei saa olla merkintää turvallisuusluokasta eikä pakkaus saa ulkoisesti muuten paljastaa sen sisältävän turvallisuusluokiteltua tietoa (kirjekuorien tai vastaavien on oltava läpinäkymättömiä). Sisäkuoren on oltava sinetöity. Vastaanottaja on ohjeistettava tarkistamaan sinetöinnin eheys ja ilmoitettava välittömästi, mikäli eheyden vaarantumista epäillään.
Lisäksi toimittaja noudattaa muita tilaajan antamia ohjeita TL II tietojen kujettamisesta.</v>
      </c>
      <c r="D72" s="38">
        <f>'Hankintaehtojen määrittely'!G72</f>
        <v>0</v>
      </c>
      <c r="E72" s="57">
        <f t="shared" si="1"/>
        <v>0</v>
      </c>
    </row>
    <row r="73" spans="1:5" ht="62.45">
      <c r="A73" s="53" t="str">
        <f>Kriteeristö!U73</f>
        <v>FYY-09, L:Salassa pidettävä, E:, S:, TS:Erityinen henkilötietoryhmä</v>
      </c>
      <c r="B73" s="38" t="str">
        <f>Kriteeristö!L73</f>
        <v>Tietojen kopioiminen</v>
      </c>
      <c r="C73" s="53" t="str">
        <f>_xlfn.CONCAT('Hankintaehtojen määrittely'!C73,CHAR(10),'Hankintaehtojen määrittely'!D73)</f>
        <v>Kopioihin ja käännöksiin sovelletaan alkuperäistä tietoa koskevia turvatoimia.
Toimittajan on lisäksi noudatettava salassa pidettävän tiedon kopiointiin liittyvää tilaajan antamaa ohjeistusta.</v>
      </c>
      <c r="D73" s="38">
        <f>'Hankintaehtojen määrittely'!G73</f>
        <v>0</v>
      </c>
      <c r="E73" s="57">
        <f t="shared" si="1"/>
        <v>0</v>
      </c>
    </row>
    <row r="74" spans="1:5" ht="87.6">
      <c r="A74" s="53" t="str">
        <f>Kriteeristö!U74</f>
        <v>FYY-09.1, L:TL II, E:, S:, TS:</v>
      </c>
      <c r="B74" s="38" t="str">
        <f>Kriteeristö!L74</f>
        <v>Tietojen kopioiminen - TL II</v>
      </c>
      <c r="C74" s="53" t="str">
        <f>_xlfn.CONCAT('Hankintaehtojen määrittely'!C74,CHAR(10),'Hankintaehtojen määrittely'!D74)</f>
        <v>Tietojen kopiot ja niiden käsittelijät on luetteloitava.
Tietojen kopiointia varten on hankittava tiedon laatineen viranomaisen lupa.
Toimittajan on lisäksi noudatettava TL II tiedon kopiointiin liittyvää tilaajan antamaa ohjeistusta.</v>
      </c>
      <c r="D74" s="38">
        <f>'Hankintaehtojen määrittely'!G74</f>
        <v>0</v>
      </c>
      <c r="E74" s="57">
        <f t="shared" si="1"/>
        <v>0</v>
      </c>
    </row>
    <row r="75" spans="1:5" ht="137.44999999999999">
      <c r="A75" s="53" t="str">
        <f>Kriteeristö!U75</f>
        <v>FYY-10, L:TL III, E:, S:, TS:</v>
      </c>
      <c r="B75" s="38" t="str">
        <f>Kriteeristö!L75</f>
        <v>Tietojen kirjaaminen</v>
      </c>
      <c r="C75" s="53" t="str">
        <f>_xlfn.CONCAT('Hankintaehtojen määrittely'!C75,CHAR(10),'Hankintaehtojen määrittely'!D75)</f>
        <v>Turvallisuusluokan III tai sitä korkeamman luokan tiedon vastaanottaminen ja lähettäminen tulee kirjata.
Turvallisuusluokan III tietojen ja niitä korkeamman tason tietojen käsittely kirjataan sähköiseen lokiin, tietojärjestelmään, asianhallintajärjestelmään, asiarekisteriin tai tietoon (esimerkiksi dokumentin osaksi). 
Toimittajan on lisäksi noudatettava tietojen kirjaamiseen liittyviä tilaajan antamia ohjeita.</v>
      </c>
      <c r="D75" s="38">
        <f>'Hankintaehtojen määrittely'!G75</f>
        <v>0</v>
      </c>
      <c r="E75" s="57">
        <f t="shared" si="1"/>
        <v>0</v>
      </c>
    </row>
    <row r="76" spans="1:5" ht="275.10000000000002">
      <c r="A76" s="53" t="str">
        <f>Kriteeristö!U76</f>
        <v>FYY-11, L:Salassa pidettävä, E:, S:, TS:Erityinen henkilötietoryhmä</v>
      </c>
      <c r="B76" s="38" t="str">
        <f>Kriteeristö!L76</f>
        <v>Tietojen fyysinen tuhoaminen</v>
      </c>
      <c r="C76" s="53" t="str">
        <f>_xlfn.CONCAT('Hankintaehtojen määrittely'!C76,CHAR(10),'Hankintaehtojen määrittely'!D76)</f>
        <v>Ei-sähköisten tietojen tuhoaminen on järjestetty luotettavasti. Tuhoamisessa käytetään menetelmiä, joilla estetään tietojen kokoaminen uudelleen kokonaan tai osittain.
Toimittaja valvoo tiedon tuhuomisprosessia koko tiedon elinkaaren päättymiseen saakka riippumatta siitä tuhoaako toimittaja tiedot itse vai käytetäänkö tietojen tuhuomisessa ulkoista palveluntarjoajaa.
'Salassa pidettävien tietojen tuhoamisessa noudatetaan seuraavia vaatimuksia:
- Paperiaineistojen silppukoko on enintään 30 mm2 (DIN 66399 / P5 tai DIN 32757 / DIN 4).
- Magneettisten kiintolevyjen silppukoko on enintään 320 mm2 (DIN 66399 / H-5.
- SSD-kiintolevyjen ja USB-muistien silppukoko on enintään 10 mm2 (DIN 66399 / E-5).
- Optisten medioiden silppukoko on enintään 10 mm2 (DIN 66399 / O-5).
Lisäksi toimittaja noudattaa tilaajan antamia täydentäviä ohjeita ei-sähköisten tietojen tuhoamisessa.</v>
      </c>
      <c r="D76" s="38">
        <f>'Hankintaehtojen määrittely'!G76</f>
        <v>0</v>
      </c>
      <c r="E76" s="57">
        <f t="shared" si="1"/>
        <v>0</v>
      </c>
    </row>
    <row r="77" spans="1:5" ht="50.1">
      <c r="A77" s="53" t="str">
        <f>Kriteeristö!U77</f>
        <v>FYY-11.1, L:TL IV, E:, S:, TS:</v>
      </c>
      <c r="B77" s="38" t="str">
        <f>Kriteeristö!L77</f>
        <v>Tietojen fyysinen tuhoaminen - TL IV</v>
      </c>
      <c r="C77" s="53" t="str">
        <f>_xlfn.CONCAT('Hankintaehtojen määrittely'!C77,CHAR(10),'Hankintaehtojen määrittely'!D77)</f>
        <v>Alikriteeri tarkentaa pääkriteerin vaatimusta.
TL IV -tasolla noudatetaan salassa pidettävien tietojen tuhoamisen vaatimuksia.</v>
      </c>
      <c r="D77" s="38">
        <f>'Hankintaehtojen määrittely'!G77</f>
        <v>0</v>
      </c>
      <c r="E77" s="57">
        <f t="shared" si="1"/>
        <v>0</v>
      </c>
    </row>
    <row r="78" spans="1:5" ht="150">
      <c r="A78" s="53" t="str">
        <f>Kriteeristö!U78</f>
        <v>FYY-11.2, L:TL III, E:, S:, TS:</v>
      </c>
      <c r="B78" s="38" t="str">
        <f>Kriteeristö!L78</f>
        <v>Tietojen fyysinen tuhoaminen - TL III</v>
      </c>
      <c r="C78" s="53" t="str">
        <f>_xlfn.CONCAT('Hankintaehtojen määrittely'!C78,CHAR(10),'Hankintaehtojen määrittely'!D78)</f>
        <v>Alikriteeri tarkentaa pääkriteerin vaatimusta.
TL III tietojen tuhoamisessa noudatetaan seuraavia vaatimuksia:
- Paperiaineistojen silppukoko on enintään 30 mm2 (DIN 66399 / P5 tai DIN 32757 / DIN 4).
- Magneettisten kiintolevyjen silppukoko on enintään 10 mm2 (DIN 66399 / H-6).
- SSD-kiintolevyjen ja USB-muistien silppukoko on enintään 10 mm2 (DIN 66399 / E-5).
- Optisten medioiden silppukoko on enintään 5 mm2 (DIN 66399 / O-6).</v>
      </c>
      <c r="D78" s="38">
        <f>'Hankintaehtojen määrittely'!G78</f>
        <v>0</v>
      </c>
      <c r="E78" s="57">
        <f t="shared" si="1"/>
        <v>0</v>
      </c>
    </row>
    <row r="79" spans="1:5" ht="237.6">
      <c r="A79" s="53" t="str">
        <f>Kriteeristö!U79</f>
        <v>FYY-11.3, L:TL II, E:, S:, TS:</v>
      </c>
      <c r="B79" s="38" t="str">
        <f>Kriteeristö!L79</f>
        <v>Tietojen fyysinen tuhoaminen - TL II</v>
      </c>
      <c r="C79" s="53" t="str">
        <f>_xlfn.CONCAT('Hankintaehtojen määrittely'!C79,CHAR(10),'Hankintaehtojen määrittely'!D79)</f>
        <v>Jos tiedon on laatinut toinen viranomainen, tarpeettomaksi käyneen tiedon tuhoamisesta on ilmoitettava tiedon laatineelle viranomaiselle, jollei sitä palauteta tiedon laatineelle viranomaiselle. 
Tiedon tuhoamisen saa suorittaa vain henkilö, jonka viranomainen on tähän tehtävään määrännyt. Valmisteluvaiheen versiot voi tuhota ne laatinut henkilö.
TL II tietojen tuhoamisessa noudatetaan seuraavia vaatimuksia:
- Paperiaineistojen silppukoko on enintään 10 mm2 (DIN 66399 / P6).
- Magneettisten kiintolevyjen silppukoko on enintään 10 mm2 (DIN 66399 / H-6).
- SSD-kiintolevyjen ja USB-muistien silppukoko on enintään 1 mm2 (DIN 66399 / E-6).
- Optisten medioiden silppukoko on enintään 5 mm2 (DIN 66399 / O-6).</v>
      </c>
      <c r="D79" s="38">
        <f>'Hankintaehtojen määrittely'!G79</f>
        <v>0</v>
      </c>
      <c r="E79" s="57">
        <f t="shared" si="1"/>
        <v>0</v>
      </c>
    </row>
    <row r="80" spans="1:5" ht="125.1">
      <c r="A80" s="53" t="str">
        <f>Kriteeristö!U80</f>
        <v>TEK-01, L:Salassa pidettävä, E:, S:, TS:Erityinen henkilötietoryhmä</v>
      </c>
      <c r="B80" s="38" t="str">
        <f>Kriteeristö!L80</f>
        <v>Verkon rakenteellinen turvallisuus</v>
      </c>
      <c r="C80" s="53" t="str">
        <f>_xlfn.CONCAT('Hankintaehtojen määrittely'!C80,CHAR(10),'Hankintaehtojen määrittely'!D80)</f>
        <v>Tietojenkäsittely-ympäristö on erotettu julkisista tietoverkoista ja muista heikomman turvallisuustason ympäristöistä riittävän turvallisella tavalla.
Tietojenkäsittely-ympäristöllä tarkoitetaan koko sitä teknistä ympäristöä, joissa tullaan käsittelemään tai säilyttämään tilaajan tietoja tai jota tullaan käyttämään hankinnan kohteena olevien palveluiden tuottamiseen. Vaatimus koskee myös niitä ympäristöjä, jotka ovat alihankkijoiden tai palveluntuottajien tarjoamia.</v>
      </c>
      <c r="D80" s="38">
        <f>'Hankintaehtojen määrittely'!G80</f>
        <v>0</v>
      </c>
      <c r="E80" s="57">
        <f t="shared" si="1"/>
        <v>0</v>
      </c>
    </row>
    <row r="81" spans="1:5" ht="99.95">
      <c r="A81" s="53" t="str">
        <f>Kriteeristö!U81</f>
        <v>TEK-01.1, L:Salassa pidettävä, E:Kriittinen, S:, TS:Henkilötieto</v>
      </c>
      <c r="B81" s="38" t="str">
        <f>Kriteeristö!L81</f>
        <v>Verkon rakenteellinen turvallisuus - salaus yleisissä tietoverkoissa</v>
      </c>
      <c r="C81" s="53" t="str">
        <f>_xlfn.CONCAT('Hankintaehtojen määrittely'!C81,CHAR(10),'Hankintaehtojen määrittely'!D81)</f>
        <v xml:space="preserve">Yleisessä tietoverkossa salassa pidettävää tietoa sisältävä tietoliikenne salataan salausratkaisulla, jossa ei ole tunnettuja haavoittuvuuksia ja jotka tukevat valmistajalta saatujen tietojen mukaan moderneja salausvahvuuksia ja -asetuksia tai vaihtoisesti siirto toteutetaan muuten suojattua tiedonsiirtoyhteyttä tai -tapaa käyttämällä.
</v>
      </c>
      <c r="D81" s="38">
        <f>'Hankintaehtojen määrittely'!G81</f>
        <v>0</v>
      </c>
      <c r="E81" s="57">
        <f t="shared" si="1"/>
        <v>0</v>
      </c>
    </row>
    <row r="82" spans="1:5" ht="62.45">
      <c r="A82" s="53" t="str">
        <f>Kriteeristö!U82</f>
        <v>TEK-01.2, L:Salassa pidettävä, E:Tärkeä, S:, TS:Erityinen henkilötietoryhmä</v>
      </c>
      <c r="B82" s="38" t="str">
        <f>Kriteeristö!L82</f>
        <v>Verkon rakenteellinen turvallisuus - palomuuri</v>
      </c>
      <c r="C82" s="53" t="str">
        <f>_xlfn.CONCAT('Hankintaehtojen määrittely'!C82,CHAR(10),'Hankintaehtojen määrittely'!D82)</f>
        <v xml:space="preserve">Tietojenkäsittely-ympäristön kytkeminen muiden turvallisuustasojen ympäristöihin edellyttää vähintään palomuuriratkaisun käyttöä.
</v>
      </c>
      <c r="D82" s="38">
        <f>'Hankintaehtojen määrittely'!G82</f>
        <v>0</v>
      </c>
      <c r="E82" s="57">
        <f t="shared" si="1"/>
        <v>0</v>
      </c>
    </row>
    <row r="83" spans="1:5" ht="75">
      <c r="A83" s="53" t="str">
        <f>Kriteeristö!U83</f>
        <v>TEK-01.3, L:TL IV, E:, S:, TS:</v>
      </c>
      <c r="B83" s="38" t="str">
        <f>Kriteeristö!L83</f>
        <v>Verkon rakenteellinen turvallisuus - käsittely-ympäristöjen erottaminen</v>
      </c>
      <c r="C83" s="53" t="str">
        <f>_xlfn.CONCAT('Hankintaehtojen määrittely'!C83,CHAR(10),'Hankintaehtojen määrittely'!D83)</f>
        <v xml:space="preserve">Tietojenkäsittely-ympäristö on erotettu muista ympäristöistä.
</v>
      </c>
      <c r="D83" s="38">
        <f>'Hankintaehtojen määrittely'!G83</f>
        <v>0</v>
      </c>
      <c r="E83" s="57">
        <f t="shared" si="1"/>
        <v>0</v>
      </c>
    </row>
    <row r="84" spans="1:5" ht="75">
      <c r="A84" s="53" t="str">
        <f>Kriteeristö!U84</f>
        <v>TEK-01.4, L:TL IV, E:, S:, TS:</v>
      </c>
      <c r="B84" s="38" t="str">
        <f>Kriteeristö!L84</f>
        <v>Verkon rakenteellinen turvallisuus - salaaminen turva-alueiden ulkopuolella</v>
      </c>
      <c r="C84" s="53" t="str">
        <f>_xlfn.CONCAT('Hankintaehtojen määrittely'!C84,CHAR(10),'Hankintaehtojen määrittely'!D84)</f>
        <v xml:space="preserve">Hallitun fyysisen turvallisuusalueen ulkopuolelle menevä liikenne salataan riittävän turvallisella salausratkaisulla.
</v>
      </c>
      <c r="D84" s="38">
        <f>'Hankintaehtojen määrittely'!G84</f>
        <v>0</v>
      </c>
      <c r="E84" s="57">
        <f t="shared" si="1"/>
        <v>0</v>
      </c>
    </row>
    <row r="85" spans="1:5" ht="75">
      <c r="A85" s="53" t="str">
        <f>Kriteeristö!U85</f>
        <v>TEK-01.5, L:TL III, E:, S:, TS:</v>
      </c>
      <c r="B85" s="38" t="str">
        <f>Kriteeristö!L85</f>
        <v>Verkon rakenteellinen turvallisuus - yhdyskäytäväratkaisun käyttö</v>
      </c>
      <c r="C85" s="53" t="str">
        <f>_xlfn.CONCAT('Hankintaehtojen määrittely'!C85,CHAR(10),'Hankintaehtojen määrittely'!D85)</f>
        <v xml:space="preserve">Turvallisuusluokat III-II:
Tietojenkäsittely-ympäristön kytkeminen muiden turvallisuusluokkien ympäristöihin edellyttää riittävän turvallisen yhdyskäytäväratkaisun käyttöä.
</v>
      </c>
      <c r="D85" s="38">
        <f>'Hankintaehtojen määrittely'!G85</f>
        <v>0</v>
      </c>
      <c r="E85" s="57">
        <f t="shared" si="1"/>
        <v>0</v>
      </c>
    </row>
    <row r="86" spans="1:5" ht="50.1">
      <c r="A86" s="53" t="str">
        <f>Kriteeristö!U86</f>
        <v>TEK-01.6, L:TL II, E:, S:, TS:</v>
      </c>
      <c r="B86" s="38" t="str">
        <f>Kriteeristö!L86</f>
        <v>Verkon rakenteellinen turvallisuus - TL II käsittely</v>
      </c>
      <c r="C86" s="53" t="str">
        <f>_xlfn.CONCAT('Hankintaehtojen määrittely'!C86,CHAR(10),'Hankintaehtojen määrittely'!D86)</f>
        <v xml:space="preserve">Turvallisuusluokan II käsittely-ympäristöt ovat lähtökohtaisesti fyysisesti eristettyjä kokonaisuuksia.
</v>
      </c>
      <c r="D86" s="38">
        <f>'Hankintaehtojen määrittely'!G86</f>
        <v>0</v>
      </c>
      <c r="E86" s="57">
        <f t="shared" si="1"/>
        <v>0</v>
      </c>
    </row>
    <row r="87" spans="1:5" ht="50.1">
      <c r="A87" s="53" t="str">
        <f>Kriteeristö!U87</f>
        <v>TEK-01.7, L:TL I, E:, S:, TS:</v>
      </c>
      <c r="B87" s="38" t="str">
        <f>Kriteeristö!L87</f>
        <v>Verkon rakenteellinen turvallisuus - TL I käsittely</v>
      </c>
      <c r="C87" s="53" t="str">
        <f>_xlfn.CONCAT('Hankintaehtojen määrittely'!C87,CHAR(10),'Hankintaehtojen määrittely'!D87)</f>
        <v xml:space="preserve">Alikriteeri tarkentaa pääkriteerin vaatimusta.
</v>
      </c>
      <c r="D87" s="38">
        <f>'Hankintaehtojen määrittely'!G87</f>
        <v>0</v>
      </c>
      <c r="E87" s="57">
        <f t="shared" si="1"/>
        <v>0</v>
      </c>
    </row>
    <row r="88" spans="1:5" ht="62.45">
      <c r="A88" s="53" t="str">
        <f>Kriteeristö!U88</f>
        <v>TEK-02, L:Salassa pidettävä, E:Tärkeä, S:Tärkeä, TS:Erityinen henkilötietoryhmä</v>
      </c>
      <c r="B88" s="38" t="str">
        <f>Kriteeristö!L88</f>
        <v>Tietoliikenne-verkon vyöhykkeistäminen</v>
      </c>
      <c r="C88" s="53" t="str">
        <f>_xlfn.CONCAT('Hankintaehtojen määrittely'!C88,CHAR(10),'Hankintaehtojen määrittely'!D88)</f>
        <v xml:space="preserve">Tietoliikenneverkon vyöhykkeistäminen ja suodatussäännöstöt on toteutettava monitasoisen suojaamisen periaatteen mukaisesti.
</v>
      </c>
      <c r="D88" s="38">
        <f>'Hankintaehtojen määrittely'!G88</f>
        <v>0</v>
      </c>
      <c r="E88" s="57">
        <f t="shared" si="1"/>
        <v>0</v>
      </c>
    </row>
    <row r="89" spans="1:5" ht="75">
      <c r="A89" s="53" t="str">
        <f>Kriteeristö!U89</f>
        <v>TEK-02.1, L:TL IV, E:, S:, TS:</v>
      </c>
      <c r="B89" s="38" t="str">
        <f>Kriteeristö!L89</f>
        <v>Tietoliikenne-verkon vyöhykkeistäminen - vähimpien oikeuksien periaate</v>
      </c>
      <c r="C89" s="53" t="str">
        <f>_xlfn.CONCAT('Hankintaehtojen määrittely'!C89,CHAR(10),'Hankintaehtojen määrittely'!D89)</f>
        <v xml:space="preserve">Tietoliikenneverkon vyöhykkeistäminen ja suodatussäännöstöt on toteutettava vähimpien oikeuksien periaatteen mukaisesti ko. turvaluokan sisällä.
</v>
      </c>
      <c r="D89" s="38">
        <f>'Hankintaehtojen määrittely'!G89</f>
        <v>0</v>
      </c>
      <c r="E89" s="57">
        <f t="shared" si="1"/>
        <v>0</v>
      </c>
    </row>
    <row r="90" spans="1:5" ht="62.45">
      <c r="A90" s="53" t="str">
        <f>Kriteeristö!U90</f>
        <v>TEK-03, L:Salassa pidettävä, E:Tärkeä, S:Tärkeä, TS:Erityinen henkilötietoryhmä</v>
      </c>
      <c r="B90" s="38" t="str">
        <f>Kriteeristö!L90</f>
        <v>Suodatus- ja valvontajärjestelmien hallinnointi</v>
      </c>
      <c r="C90" s="53" t="str">
        <f>_xlfn.CONCAT('Hankintaehtojen määrittely'!C90,CHAR(10),'Hankintaehtojen määrittely'!D90)</f>
        <v xml:space="preserve">Suodatus- ja valvontajärjestelmien tarkoituksenmukaisesta toiminnasta huolehditaan koko tietojenkäsittely-ympäristön elinkaaren ajan.
</v>
      </c>
      <c r="D90" s="38">
        <f>'Hankintaehtojen määrittely'!G90</f>
        <v>0</v>
      </c>
      <c r="E90" s="57">
        <f t="shared" si="1"/>
        <v>0</v>
      </c>
    </row>
    <row r="91" spans="1:5" ht="62.45">
      <c r="A91" s="53" t="str">
        <f>Kriteeristö!U91</f>
        <v>TEK-03.1, L:Salassa pidettävä, E:Tärkeä, S:Tärkeä, TS:Erityinen henkilötietoryhmä</v>
      </c>
      <c r="B91" s="38" t="str">
        <f>Kriteeristö!L91</f>
        <v>Suodatus- ja valvontajärjestelmien hallinnointi - vastuutus ja organisointi</v>
      </c>
      <c r="C91" s="53" t="str">
        <f>_xlfn.CONCAT('Hankintaehtojen määrittely'!C91,CHAR(10),'Hankintaehtojen määrittely'!D91)</f>
        <v xml:space="preserve">Liikennettä suodattavien tai valvovien järjestelmien asetusten lisääminen, muuttaminen, poistaminen ja valvonta on vastuutettu ja organisoitu.
</v>
      </c>
      <c r="D91" s="38">
        <f>'Hankintaehtojen määrittely'!G91</f>
        <v>0</v>
      </c>
      <c r="E91" s="57">
        <f t="shared" si="1"/>
        <v>0</v>
      </c>
    </row>
    <row r="92" spans="1:5" ht="75">
      <c r="A92" s="53" t="str">
        <f>Kriteeristö!U92</f>
        <v>TEK-03.2, L:Salassa pidettävä, E:Tärkeä, S:Tärkeä, TS:Erityinen henkilötietoryhmä</v>
      </c>
      <c r="B92" s="38" t="str">
        <f>Kriteeristö!L92</f>
        <v>Suodatus- ja valvontajärjestelmien hallinnointi - dokumentointi</v>
      </c>
      <c r="C92" s="53" t="str">
        <f>_xlfn.CONCAT('Hankintaehtojen määrittely'!C92,CHAR(10),'Hankintaehtojen määrittely'!D92)</f>
        <v xml:space="preserve">Verkon ja siihen liittyvien suodatus- ja valvontajärjestelmien dokumentaatiota ylläpidetään sen elinkaaren aikana erottamattomana osana muutosten ja asetusten hallintaprosessia.
</v>
      </c>
      <c r="D92" s="38">
        <f>'Hankintaehtojen määrittely'!G92</f>
        <v>0</v>
      </c>
      <c r="E92" s="57">
        <f t="shared" si="1"/>
        <v>0</v>
      </c>
    </row>
    <row r="93" spans="1:5" ht="75">
      <c r="A93" s="53" t="str">
        <f>Kriteeristö!U93</f>
        <v>TEK-03.3, L:Salassa pidettävä, E:Tärkeä, S:Tärkeä, TS:Erityinen henkilötietoryhmä</v>
      </c>
      <c r="B93" s="38" t="str">
        <f>Kriteeristö!L93</f>
        <v>Suodatus- ja valvontajärjestelmien hallinnointi - tarkastukset</v>
      </c>
      <c r="C93" s="53" t="str">
        <f>_xlfn.CONCAT('Hankintaehtojen määrittely'!C93,CHAR(10),'Hankintaehtojen määrittely'!D93)</f>
        <v xml:space="preserve">Liikennettä suodattavien tai valvovien järjestelmien asetukset ja haluttu toiminta tarkastetaan määräajoin tietojenkäsittely-ympäristön toiminnan ja huollon aikana sekä poikkeuksellisten tilanteiden ilmetessä.
</v>
      </c>
      <c r="D93" s="38">
        <f>'Hankintaehtojen määrittely'!G93</f>
        <v>0</v>
      </c>
      <c r="E93" s="57">
        <f t="shared" si="1"/>
        <v>0</v>
      </c>
    </row>
    <row r="94" spans="1:5" ht="150">
      <c r="A94" s="53" t="str">
        <f>Kriteeristö!U94</f>
        <v>TEK-04, L:Julkinen, E:Vähäinen, S:Vähäinen, TS:Henkilötieto</v>
      </c>
      <c r="B94" s="38" t="str">
        <f>Kriteeristö!L94</f>
        <v>Hallintayhteydet</v>
      </c>
      <c r="C94" s="53" t="str">
        <f>_xlfn.CONCAT('Hankintaehtojen määrittely'!C94,CHAR(10),'Hankintaehtojen määrittely'!D94)</f>
        <v xml:space="preserve">Hallintapääsy tapahtuu rajattujen, hallittujen ja valvottujen pisteiden kautta.
Vaatimuksilla (TEK-04 ja mahdolliset alivaatimukset) tarkoitetaan sellaisten toimittajan ympäristössä olevien kohteiden hallintaa, joilla voi olla merkitystä tilaajan tietojen tai tilaajalle tuotettavien palveluiden turvallisuudelle. Lisäksi vaatimuksia sovelletaan pilvipalveluiden hallintakäyttöliittymien suojaamiseen.
Lisäksi toimittajan tulee ottaa huomioon mahdolliset tilaajan tekemät täsmennykset. </v>
      </c>
      <c r="D94" s="38">
        <f>'Hankintaehtojen määrittely'!G94</f>
        <v>0</v>
      </c>
      <c r="E94" s="57">
        <f t="shared" si="1"/>
        <v>0</v>
      </c>
    </row>
    <row r="95" spans="1:5" ht="62.45">
      <c r="A95" s="53" t="str">
        <f>Kriteeristö!U95</f>
        <v>TEK-04.1, L:Julkinen, E:Vähäinen, S:Vähäinen, TS:Henkilötieto</v>
      </c>
      <c r="B95" s="38" t="str">
        <f>Kriteeristö!L95</f>
        <v>Hallintayhteydet - vahva tunnistaminen julkisessa verkossa</v>
      </c>
      <c r="C95" s="53" t="str">
        <f>_xlfn.CONCAT('Hankintaehtojen määrittely'!C95,CHAR(10),'Hankintaehtojen määrittely'!D95)</f>
        <v xml:space="preserve">Hallintapääsyn julkisesta verkosta tai muun käytettävän etähallintaratkaisun tulee edellyttää vahvaa, vähintään kahteen todennustekijään pohjautuvaa käyttäjätunnistusta.
</v>
      </c>
      <c r="D95" s="38">
        <f>'Hankintaehtojen määrittely'!G95</f>
        <v>0</v>
      </c>
      <c r="E95" s="57">
        <f t="shared" si="1"/>
        <v>0</v>
      </c>
    </row>
    <row r="96" spans="1:5" ht="75">
      <c r="A96" s="53" t="str">
        <f>Kriteeristö!U96</f>
        <v>TEK-04.2, L:Julkinen, E:Vähäinen, S:Vähäinen, TS:Henkilötieto</v>
      </c>
      <c r="B96" s="38" t="str">
        <f>Kriteeristö!L96</f>
        <v>Hallintayhteydet - hallintayhteyksen salaaminen</v>
      </c>
      <c r="C96" s="53" t="str">
        <f>_xlfn.CONCAT('Hankintaehtojen määrittely'!C96,CHAR(10),'Hankintaehtojen määrittely'!D96)</f>
        <v xml:space="preserve">Hallintaliikenne julkisessa verkossa on salattua käyttötilanteeseen soveltuvalla menetelmällä, suosien oikeellisen toiminnan osalta varmistettuja (validoituja) ja standardoituja salausratkaisuja/-protokollia.
</v>
      </c>
      <c r="D96" s="38">
        <f>'Hankintaehtojen määrittely'!G96</f>
        <v>0</v>
      </c>
      <c r="E96" s="57">
        <f t="shared" si="1"/>
        <v>0</v>
      </c>
    </row>
    <row r="97" spans="1:5" ht="50.1">
      <c r="A97" s="53" t="str">
        <f>Kriteeristö!U97</f>
        <v>TEK-04.3, L:Julkinen, E:Vähäinen, S:Vähäinen, TS:Henkilötieto</v>
      </c>
      <c r="B97" s="38" t="str">
        <f>Kriteeristö!L97</f>
        <v>Hallintayhteydet - vähimmät oikeudet</v>
      </c>
      <c r="C97" s="53" t="str">
        <f>_xlfn.CONCAT('Hankintaehtojen määrittely'!C97,CHAR(10),'Hankintaehtojen määrittely'!D97)</f>
        <v xml:space="preserve">Hallintayhteydet on rajattu vähimpien oikeuksien periaatteen mukaisesti.
</v>
      </c>
      <c r="D97" s="38">
        <f>'Hankintaehtojen määrittely'!G97</f>
        <v>0</v>
      </c>
      <c r="E97" s="57">
        <f t="shared" si="1"/>
        <v>0</v>
      </c>
    </row>
    <row r="98" spans="1:5" ht="75">
      <c r="A98" s="53" t="str">
        <f>Kriteeristö!U98</f>
        <v>TEK-04.4, L:Julkinen, E:Vähäinen, S:Vähäinen, TS:Henkilötieto</v>
      </c>
      <c r="B98" s="38" t="str">
        <f>Kriteeristö!L98</f>
        <v>Hallintayhteydet - henkilökohtaiset tunnukset</v>
      </c>
      <c r="C98" s="53" t="str">
        <f>_xlfn.CONCAT('Hankintaehtojen määrittely'!C98,CHAR(10),'Hankintaehtojen määrittely'!D98)</f>
        <v>Järjestelmien ja sovellusten ylläpitotunnukset ovat henkilökohtaisia.
Niiltä osin kuin ei ole mahdollista käyttää henkilökohtaisia tunnuksia, on esitettävä korvaava menettely, jonka avulla toteutettujen ylläpitotoimien tekijä on yksilöitävissä.</v>
      </c>
      <c r="D98" s="38">
        <f>'Hankintaehtojen määrittely'!G98</f>
        <v>0</v>
      </c>
      <c r="E98" s="57">
        <f t="shared" si="1"/>
        <v>0</v>
      </c>
    </row>
    <row r="99" spans="1:5" ht="62.45">
      <c r="A99" s="53" t="str">
        <f>Kriteeristö!U99</f>
        <v>TEK-04.5, L:TL IV, E:, S:, TS:</v>
      </c>
      <c r="B99" s="38" t="str">
        <f>Kriteeristö!L99</f>
        <v>Hallintayhteydet - yhteyksien rajaaminen turvallisuusluokittain</v>
      </c>
      <c r="C99" s="53" t="str">
        <f>_xlfn.CONCAT('Hankintaehtojen määrittely'!C99,CHAR(10),'Hankintaehtojen määrittely'!D99)</f>
        <v xml:space="preserve">Hallintayhteydet on rajattu turvallisuusluokittain, ellei käytössä ole turvallisuusluokka huomioon ottaen riittävän turvallista yhdyskäytäväratkaisua.
</v>
      </c>
      <c r="D99" s="38">
        <f>'Hankintaehtojen määrittely'!G99</f>
        <v>0</v>
      </c>
      <c r="E99" s="57">
        <f t="shared" si="1"/>
        <v>0</v>
      </c>
    </row>
    <row r="100" spans="1:5" ht="75">
      <c r="A100" s="53" t="str">
        <f>Kriteeristö!U100</f>
        <v>TEK-04.6, L:TL IV, E:, S:, TS:</v>
      </c>
      <c r="B100" s="38" t="str">
        <f>Kriteeristö!L100</f>
        <v>Hallintayhteydet - turvallisuusluokiteltua tietoa sisältävät hallintayhteydet</v>
      </c>
      <c r="C100" s="53" t="str">
        <f>_xlfn.CONCAT('Hankintaehtojen määrittely'!C100,CHAR(10),'Hankintaehtojen määrittely'!D100)</f>
        <v xml:space="preserve">Hallintaliikenteen sisältäessä turvallisuusluokiteltua tietoa ja kulkiessa matalamman turvallisuusluokan ympäristön kautta, turvallisuusluokitellut tiedot on salattu riittävän turvallisella salaustuotteella.
</v>
      </c>
      <c r="D100" s="38">
        <f>'Hankintaehtojen määrittely'!G100</f>
        <v>0</v>
      </c>
      <c r="E100" s="57">
        <f t="shared" si="1"/>
        <v>0</v>
      </c>
    </row>
    <row r="101" spans="1:5" ht="62.45">
      <c r="A101" s="53" t="str">
        <f>Kriteeristö!U101</f>
        <v>TEK-04.7, L:TL IV, E:, S:, TS:</v>
      </c>
      <c r="B101" s="38" t="str">
        <f>Kriteeristö!L101</f>
        <v>Hallintayhteydet - salaaminen turvallisuusluokan sisällä</v>
      </c>
      <c r="C101" s="53" t="str">
        <f>_xlfn.CONCAT('Hankintaehtojen määrittely'!C101,CHAR(10),'Hankintaehtojen määrittely'!D101)</f>
        <v xml:space="preserve">Hallintaliikenteen kulkiessa ko. turvallisuusluokan sisällä, alemman tason salausta tai salaamatonta siirtoa voidaan käyttää riskinhallintaprosessin tulosten perusteella.
</v>
      </c>
      <c r="D101" s="38">
        <f>'Hankintaehtojen määrittely'!G101</f>
        <v>0</v>
      </c>
      <c r="E101" s="57">
        <f t="shared" si="1"/>
        <v>0</v>
      </c>
    </row>
    <row r="102" spans="1:5" ht="87.6">
      <c r="A102" s="53" t="str">
        <f>Kriteeristö!U102</f>
        <v>TEK-04.8, L:TL III, E:, S:, TS:</v>
      </c>
      <c r="B102" s="38" t="str">
        <f>Kriteeristö!L102</f>
        <v>Hallintayhteydet - TL III</v>
      </c>
      <c r="C102" s="53" t="str">
        <f>_xlfn.CONCAT('Hankintaehtojen määrittely'!C102,CHAR(10),'Hankintaehtojen määrittely'!D102)</f>
        <v xml:space="preserve">Turvallisuusluokan III käsittely-ympäristöjen etähallinta tulee suorittaa turva-alueelta
Turva-alueella ymmärretään tässä yhteydessä sellaista erillistä korkeammat turvallisuuskriteerit täyttävää fyysistä tilaa, joka täyttää TL III -tason vaatimukset ja jonka tilaaja on hyväksynyt. </v>
      </c>
      <c r="D102" s="38">
        <f>'Hankintaehtojen määrittely'!G102</f>
        <v>0</v>
      </c>
      <c r="E102" s="57">
        <f t="shared" si="1"/>
        <v>0</v>
      </c>
    </row>
    <row r="103" spans="1:5" ht="75">
      <c r="A103" s="53" t="str">
        <f>Kriteeristö!U103</f>
        <v>TEK-05, L:Salassa pidettävä, E:, S:, TS:Henkilötieto</v>
      </c>
      <c r="B103" s="38" t="str">
        <f>Kriteeristö!L103</f>
        <v>Langaton tiedonsiirto</v>
      </c>
      <c r="C103" s="53" t="str">
        <f>_xlfn.CONCAT('Hankintaehtojen määrittely'!C103,CHAR(10),'Hankintaehtojen määrittely'!D103)</f>
        <v xml:space="preserve">Langattomassa tiedonsiirrossa tietoliikenne salataan salausratkaisulla, jossa ei ole tunnettuja haavoittuvuuksia ja jotka tukevat valmistajalta saatujen tietojen mukaan moderneja salausvahvuuksia ja -asetuksia.
</v>
      </c>
      <c r="D103" s="38">
        <f>'Hankintaehtojen määrittely'!G103</f>
        <v>0</v>
      </c>
      <c r="E103" s="57">
        <f t="shared" si="1"/>
        <v>0</v>
      </c>
    </row>
    <row r="104" spans="1:5" ht="50.1">
      <c r="A104" s="53" t="str">
        <f>Kriteeristö!U104</f>
        <v>TEK-05.1, L:TL IV, E:, S:, TS:</v>
      </c>
      <c r="B104" s="38" t="str">
        <f>Kriteeristö!L104</f>
        <v>Langaton tiedonsiirto - salaaminen</v>
      </c>
      <c r="C104" s="53" t="str">
        <f>_xlfn.CONCAT('Hankintaehtojen määrittely'!C104,CHAR(10),'Hankintaehtojen määrittely'!D104)</f>
        <v xml:space="preserve">Langattomassa tiedonsiirrossa tietoliikenne salataan kyseiselle turvaluokalle riittävän turvallisella salausratkaisulla.
</v>
      </c>
      <c r="D104" s="38">
        <f>'Hankintaehtojen määrittely'!G104</f>
        <v>0</v>
      </c>
      <c r="E104" s="57">
        <f t="shared" si="1"/>
        <v>0</v>
      </c>
    </row>
    <row r="105" spans="1:5" ht="87.6">
      <c r="A105" s="53" t="str">
        <f>Kriteeristö!U105</f>
        <v>TEK-06, L:Salassa pidettävä, E:, S:, TS:Henkilötieto</v>
      </c>
      <c r="B105" s="38" t="str">
        <f>Kriteeristö!L105</f>
        <v>Kasautumisvaikutus</v>
      </c>
      <c r="C105" s="53" t="str">
        <f>_xlfn.CONCAT('Hankintaehtojen määrittely'!C105,CHAR(10),'Hankintaehtojen määrittely'!D105)</f>
        <v>Kasautumisvaikutus on huomioitu tietojenkäsittely-ympäristön suojaamisessa.
Toimittaja on velvollinen tunnistamaan tilanteen, jossa toimittajan vastuulla oleva palvelu sisältää useiden eri tilaajien tietoja sekä viestimään asiasta tilaajalle kasautumisvaikutuksen arvioimiseksi.</v>
      </c>
      <c r="D105" s="38">
        <f>'Hankintaehtojen määrittely'!G105</f>
        <v>0</v>
      </c>
      <c r="E105" s="57">
        <f t="shared" si="1"/>
        <v>0</v>
      </c>
    </row>
    <row r="106" spans="1:5" ht="50.1">
      <c r="A106" s="53" t="str">
        <f>Kriteeristö!U106</f>
        <v>TEK-07, L:Julkinen, E:Vähäinen, S:Vähäinen, TS:Henkilötieto</v>
      </c>
      <c r="B106" s="38" t="str">
        <f>Kriteeristö!L106</f>
        <v>Pääsyoikeuksien hallinnointi</v>
      </c>
      <c r="C106" s="53" t="str">
        <f>_xlfn.CONCAT('Hankintaehtojen määrittely'!C106,CHAR(10),'Hankintaehtojen määrittely'!D106)</f>
        <v xml:space="preserve">Tietojärjestelmien käyttöoikeudet on määritelty.
</v>
      </c>
      <c r="D106" s="38">
        <f>'Hankintaehtojen määrittely'!G106</f>
        <v>0</v>
      </c>
      <c r="E106" s="57">
        <f t="shared" si="1"/>
        <v>0</v>
      </c>
    </row>
    <row r="107" spans="1:5" ht="50.1">
      <c r="A107" s="53" t="str">
        <f>Kriteeristö!U107</f>
        <v>TEK-07.1, L:Julkinen, E:Vähäinen, S:Vähäinen, TS:Henkilötieto</v>
      </c>
      <c r="B107" s="38" t="str">
        <f>Kriteeristö!L107</f>
        <v>Pääsyoikeuksien hallinnointi - pääsyoikeuksien myöntäminen</v>
      </c>
      <c r="C107" s="53" t="str">
        <f>_xlfn.CONCAT('Hankintaehtojen määrittely'!C107,CHAR(10),'Hankintaehtojen määrittely'!D107)</f>
        <v xml:space="preserve">Tietojärjestelmien käyttöoikeudet voidaan myöntää vain henkilöille, joiden käyttötarpeesta on varmistuttu. 
</v>
      </c>
      <c r="D107" s="38">
        <f>'Hankintaehtojen määrittely'!G107</f>
        <v>0</v>
      </c>
      <c r="E107" s="57">
        <f t="shared" si="1"/>
        <v>0</v>
      </c>
    </row>
    <row r="108" spans="1:5" ht="62.45">
      <c r="A108" s="53" t="str">
        <f>Kriteeristö!U108</f>
        <v>TEK-07.2, L:Julkinen, E:Vähäinen, S:Vähäinen, TS:Henkilötieto</v>
      </c>
      <c r="B108" s="38" t="str">
        <f>Kriteeristö!L108</f>
        <v>Pääsyoikeuksien hallinnointi - pääsyoikeuksien rajaaminen</v>
      </c>
      <c r="C108" s="53" t="str">
        <f>_xlfn.CONCAT('Hankintaehtojen määrittely'!C108,CHAR(10),'Hankintaehtojen määrittely'!D108)</f>
        <v xml:space="preserve">Tietojenkäsittely-ympäristön käyttäjille ja automaattisille prosesseille annetaan vain ne tiedot, oikeudet tai valtuutukset, jotka ovat niiden tehtävien suorittamiseksi välttämättömiä.
</v>
      </c>
      <c r="D108" s="38">
        <f>'Hankintaehtojen määrittely'!G108</f>
        <v>0</v>
      </c>
      <c r="E108" s="57">
        <f t="shared" si="1"/>
        <v>0</v>
      </c>
    </row>
    <row r="109" spans="1:5" ht="50.1">
      <c r="A109" s="53" t="str">
        <f>Kriteeristö!U109</f>
        <v>TEK-07.3, L:Julkinen, E:Vähäinen, S:Vähäinen, TS:Henkilötieto</v>
      </c>
      <c r="B109" s="38" t="str">
        <f>Kriteeristö!L109</f>
        <v>Pääsyoikeuksien hallinnointi - pääsyoikeuksien ajantasaisuus</v>
      </c>
      <c r="C109" s="53" t="str">
        <f>_xlfn.CONCAT('Hankintaehtojen määrittely'!C109,CHAR(10),'Hankintaehtojen määrittely'!D109)</f>
        <v xml:space="preserve">Käyttöoikeudet on pidettävä ajantasaisina.
</v>
      </c>
      <c r="D109" s="38">
        <f>'Hankintaehtojen määrittely'!G109</f>
        <v>0</v>
      </c>
      <c r="E109" s="57">
        <f t="shared" si="1"/>
        <v>0</v>
      </c>
    </row>
    <row r="110" spans="1:5" ht="62.45">
      <c r="A110" s="53" t="str">
        <f>Kriteeristö!U110</f>
        <v>TEK-07.4, L:TL IV, E:, S:, TS:</v>
      </c>
      <c r="B110" s="38" t="str">
        <f>Kriteeristö!L110</f>
        <v>Pääsyoikeuksien hallinnointi - turvallisuusluokiteltujen tietojen erottelu</v>
      </c>
      <c r="C110" s="53" t="str">
        <f>_xlfn.CONCAT('Hankintaehtojen määrittely'!C110,CHAR(10),'Hankintaehtojen määrittely'!D110)</f>
        <v>Alikriteeri tarkentaa pääkriteerin vaatimusta.
Turvallisuusluokitellut tiedot erotellaan ja säilytetään riittävän turvallisella tavalla</v>
      </c>
      <c r="D110" s="38">
        <f>'Hankintaehtojen määrittely'!G110</f>
        <v>0</v>
      </c>
      <c r="E110" s="57">
        <f t="shared" si="1"/>
        <v>0</v>
      </c>
    </row>
    <row r="111" spans="1:5" ht="50.1">
      <c r="A111" s="53" t="str">
        <f>Kriteeristö!U111</f>
        <v>TEK-07.5, L:TL III, E:, S:, TS:</v>
      </c>
      <c r="B111" s="38" t="str">
        <f>Kriteeristö!L111</f>
        <v>Pääsyoikeuksien hallinnointi - TL III</v>
      </c>
      <c r="C111" s="53" t="str">
        <f>_xlfn.CONCAT('Hankintaehtojen määrittely'!C111,CHAR(10),'Hankintaehtojen määrittely'!D111)</f>
        <v>Alikriteeri tarkentaa pääkriteerin vaatimusta.
Tietojen ylläpitoon ja lokien hallintaan liittyvät tehtävät on eroteltu riittävässä laajuudessa.</v>
      </c>
      <c r="D111" s="38">
        <f>'Hankintaehtojen määrittely'!G111</f>
        <v>0</v>
      </c>
      <c r="E111" s="57">
        <f t="shared" si="1"/>
        <v>0</v>
      </c>
    </row>
    <row r="112" spans="1:5" ht="50.1">
      <c r="A112" s="53" t="str">
        <f>Kriteeristö!U112</f>
        <v>TEK-08, L:Salassa pidettävä, E:Normaali, S:, TS:Henkilötieto</v>
      </c>
      <c r="B112" s="38" t="str">
        <f>Kriteeristö!L112</f>
        <v>Tietojenkäsittely-ympäristön toimijoiden tunnistaminen</v>
      </c>
      <c r="C112" s="53" t="str">
        <f>_xlfn.CONCAT('Hankintaehtojen määrittely'!C112,CHAR(10),'Hankintaehtojen määrittely'!D112)</f>
        <v xml:space="preserve">Tietojenkäsittely-ympäristöä käyttävät henkilöt, laitteet ja tietojärjestelmät tunnistetaan riittävän luotettavasti.
</v>
      </c>
      <c r="D112" s="38">
        <f>'Hankintaehtojen määrittely'!G112</f>
        <v>0</v>
      </c>
      <c r="E112" s="57">
        <f t="shared" si="1"/>
        <v>0</v>
      </c>
    </row>
    <row r="113" spans="1:5" ht="50.1">
      <c r="A113" s="53" t="str">
        <f>Kriteeristö!U113</f>
        <v>TEK-08.1, L:Salassa pidettävä, E:Normaali, S:, TS:Henkilötieto</v>
      </c>
      <c r="B113" s="38" t="str">
        <f>Kriteeristö!L113</f>
        <v>Tietojenkäsittely-ympäristön toimijoiden tunnistaminen</v>
      </c>
      <c r="C113" s="53" t="str">
        <f>_xlfn.CONCAT('Hankintaehtojen määrittely'!C113,CHAR(10),'Hankintaehtojen määrittely'!D113)</f>
        <v xml:space="preserve">Kaikki käyttäjät tunnistetaan ja todennetaan yksilöllisillä henkilökohtaisilla käyttäjätunnisteilla.
</v>
      </c>
      <c r="D113" s="38">
        <f>'Hankintaehtojen määrittely'!G113</f>
        <v>0</v>
      </c>
      <c r="E113" s="57">
        <f t="shared" si="1"/>
        <v>0</v>
      </c>
    </row>
    <row r="114" spans="1:5" ht="62.45">
      <c r="A114" s="53" t="str">
        <f>Kriteeristö!U114</f>
        <v>TEK-08.2, L:Salassa pidettävä, E:Normaali, S:, TS:Henkilötieto</v>
      </c>
      <c r="B114" s="38" t="str">
        <f>Kriteeristö!L114</f>
        <v>Tietojenkäsittely-ympäristön toimijoiden tunnistaminen</v>
      </c>
      <c r="C114" s="53" t="str">
        <f>_xlfn.CONCAT('Hankintaehtojen määrittely'!C114,CHAR(10),'Hankintaehtojen määrittely'!D114)</f>
        <v xml:space="preserve">Tunnistamisessa ja todennuksessa käytetään tunnettua ja turvallisena pidettyä tekniikkaa tai se on muuten järjestettävä luotettavasti.
</v>
      </c>
      <c r="D114" s="38">
        <f>'Hankintaehtojen määrittely'!G114</f>
        <v>0</v>
      </c>
      <c r="E114" s="57">
        <f t="shared" si="1"/>
        <v>0</v>
      </c>
    </row>
    <row r="115" spans="1:5" ht="50.1">
      <c r="A115" s="53" t="str">
        <f>Kriteeristö!U115</f>
        <v>TEK-08.3, L:Salassa pidettävä, E:Normaali, S:, TS:Henkilötieto</v>
      </c>
      <c r="B115" s="38" t="str">
        <f>Kriteeristö!L115</f>
        <v>Tietojenkäsittely-ympäristön toimijoiden tunnistaminen</v>
      </c>
      <c r="C115" s="53" t="str">
        <f>_xlfn.CONCAT('Hankintaehtojen määrittely'!C115,CHAR(10),'Hankintaehtojen määrittely'!D115)</f>
        <v xml:space="preserve">Käyttäjätunnukset lukittuvat tilanteissa, joissa tunnistus epäonnistuu liian monta kertaa peräkkäin.
</v>
      </c>
      <c r="D115" s="38">
        <f>'Hankintaehtojen määrittely'!G115</f>
        <v>0</v>
      </c>
      <c r="E115" s="57">
        <f t="shared" si="1"/>
        <v>0</v>
      </c>
    </row>
    <row r="116" spans="1:5" ht="62.45">
      <c r="A116" s="53" t="str">
        <f>Kriteeristö!U116</f>
        <v>TEK-08.4, L:TL IV, E:Kriittinen, S:, TS:</v>
      </c>
      <c r="B116" s="38" t="str">
        <f>Kriteeristö!L116</f>
        <v>Tietojenkäsittely-ympäristön toimijoiden tunnistaminen - TL IV</v>
      </c>
      <c r="C116" s="53" t="str">
        <f>_xlfn.CONCAT('Hankintaehtojen määrittely'!C116,CHAR(10),'Hankintaehtojen määrittely'!D116)</f>
        <v xml:space="preserve">Alikriteeri tarkentaa pääkriteerin vaatimusta.
</v>
      </c>
      <c r="D116" s="38">
        <f>'Hankintaehtojen määrittely'!G116</f>
        <v>0</v>
      </c>
      <c r="E116" s="57">
        <f t="shared" si="1"/>
        <v>0</v>
      </c>
    </row>
    <row r="117" spans="1:5" ht="62.45">
      <c r="A117" s="53" t="str">
        <f>Kriteeristö!U117</f>
        <v>TEK-08.5, L:TL III, E:Kriittinen, S:, TS:</v>
      </c>
      <c r="B117" s="38" t="str">
        <f>Kriteeristö!L117</f>
        <v>Tietojenkäsittely-ympäristön toimijoiden tunnistaminen - TL III</v>
      </c>
      <c r="C117" s="53" t="str">
        <f>_xlfn.CONCAT('Hankintaehtojen määrittely'!C117,CHAR(10),'Hankintaehtojen määrittely'!D117)</f>
        <v xml:space="preserve">Alikriteeri tarkentaa pääkriteerin vaatimusta.
</v>
      </c>
      <c r="D117" s="38">
        <f>'Hankintaehtojen määrittely'!G117</f>
        <v>0</v>
      </c>
      <c r="E117" s="57">
        <f t="shared" si="1"/>
        <v>0</v>
      </c>
    </row>
    <row r="118" spans="1:5" ht="75">
      <c r="A118" s="53" t="str">
        <f>Kriteeristö!U118</f>
        <v>TEK-09, L:Salassa pidettävä, E:Kriittinen, S:, TS:Erityinen henkilötietoryhmä</v>
      </c>
      <c r="B118" s="38" t="str">
        <f>Kriteeristö!L118</f>
        <v>Tietojärjestelmien fyysinen turvallisuus</v>
      </c>
      <c r="C118" s="53" t="str">
        <f>_xlfn.CONCAT('Hankintaehtojen määrittely'!C118,CHAR(10),'Hankintaehtojen määrittely'!D118)</f>
        <v xml:space="preserve">Tietoaineistoja on käsiteltävä ja säilytettävä toimitiloissa, jotka ovat tietoaineiston luottamuksellisuuteen, eheyteen ja saatavuuteen liittyvien vaatimusten toteuttamiseksi riittävän turvallisia.
</v>
      </c>
      <c r="D118" s="38">
        <f>'Hankintaehtojen määrittely'!G118</f>
        <v>0</v>
      </c>
      <c r="E118" s="57">
        <f t="shared" si="1"/>
        <v>0</v>
      </c>
    </row>
    <row r="119" spans="1:5" ht="62.45">
      <c r="A119" s="53" t="str">
        <f>Kriteeristö!U119</f>
        <v>TEK-10, L:Salassa pidettävä, E:Tärkeä, S:, TS:Erityinen henkilötietoryhmä</v>
      </c>
      <c r="B119" s="38" t="str">
        <f>Kriteeristö!L119</f>
        <v>Järjestelmäkovennus</v>
      </c>
      <c r="C119" s="53" t="str">
        <f>_xlfn.CONCAT('Hankintaehtojen määrittely'!C119,CHAR(10),'Hankintaehtojen määrittely'!D119)</f>
        <v xml:space="preserve">Käytössä on menettelytapa, jolla järjestelmät asennetaan järjestelmällisesti siten, että lopputuloksena on kovennettu asennus. 
</v>
      </c>
      <c r="D119" s="38">
        <f>'Hankintaehtojen määrittely'!G119</f>
        <v>0</v>
      </c>
      <c r="E119" s="57">
        <f t="shared" si="1"/>
        <v>0</v>
      </c>
    </row>
    <row r="120" spans="1:5" ht="75">
      <c r="A120" s="53" t="str">
        <f>Kriteeristö!U120</f>
        <v>TEK-10.1, L:Salassa pidettävä, E:Tärkeä, S:, TS:Erityinen henkilötietoryhmä</v>
      </c>
      <c r="B120" s="38" t="str">
        <f>Kriteeristö!L120</f>
        <v>Järjestelmäkovennus - käytössä olevien palveluiden minimointi</v>
      </c>
      <c r="C120" s="53" t="str">
        <f>_xlfn.CONCAT('Hankintaehtojen määrittely'!C120,CHAR(10),'Hankintaehtojen määrittely'!D120)</f>
        <v xml:space="preserve">Käyttöön on otettu vain käyttövaatimusten ja tietojen käsittelyn kannalta olennaiset toiminnot, laitteet ja palvelut. 
</v>
      </c>
      <c r="D120" s="38">
        <f>'Hankintaehtojen määrittely'!G120</f>
        <v>0</v>
      </c>
      <c r="E120" s="57">
        <f t="shared" si="1"/>
        <v>0</v>
      </c>
    </row>
    <row r="121" spans="1:5" ht="75">
      <c r="A121" s="53" t="str">
        <f>Kriteeristö!U121</f>
        <v>TEK-10.2, L:Salassa pidettävä, E:Tärkeä, S:, TS:Erityinen henkilötietoryhmä</v>
      </c>
      <c r="B121" s="38" t="str">
        <f>Kriteeristö!L121</f>
        <v>Järjestelmäkovennus - kovennusten varmistaminen koko elinkaaren ajan</v>
      </c>
      <c r="C121" s="53" t="str">
        <f>_xlfn.CONCAT('Hankintaehtojen määrittely'!C121,CHAR(10),'Hankintaehtojen määrittely'!D121)</f>
        <v xml:space="preserve">Kovennusten voimassaolosta ja vaikuttavuudesta huolehditaan koko tietojärjestelmän elinkaaren ajan.
</v>
      </c>
      <c r="D121" s="38">
        <f>'Hankintaehtojen määrittely'!G121</f>
        <v>0</v>
      </c>
      <c r="E121" s="57">
        <f t="shared" si="1"/>
        <v>0</v>
      </c>
    </row>
    <row r="122" spans="1:5" ht="50.1">
      <c r="A122" s="53" t="str">
        <f>Kriteeristö!U122</f>
        <v>TEK-10.3, L:TL III, E:Kriittinen, S:, TS:</v>
      </c>
      <c r="B122" s="38" t="str">
        <f>Kriteeristö!L122</f>
        <v>Järjestelmäkovennus - turvallisuusluokitellut ympäristöt</v>
      </c>
      <c r="C122" s="53" t="str">
        <f>_xlfn.CONCAT('Hankintaehtojen määrittely'!C122,CHAR(10),'Hankintaehtojen määrittely'!D122)</f>
        <v xml:space="preserve">Alikriteeri tarkentaa pääkriteerin vaatimusta.
</v>
      </c>
      <c r="D122" s="38">
        <f>'Hankintaehtojen määrittely'!G122</f>
        <v>0</v>
      </c>
      <c r="E122" s="57">
        <f t="shared" si="1"/>
        <v>0</v>
      </c>
    </row>
    <row r="123" spans="1:5" ht="75">
      <c r="A123" s="53" t="str">
        <f>Kriteeristö!U123</f>
        <v>TEK-11, L:Salassa pidettävä, E:Normaali, S:Normaali, TS:Erityinen henkilötietoryhmä</v>
      </c>
      <c r="B123" s="38" t="str">
        <f>Kriteeristö!L123</f>
        <v>Haittaohjelmilta suojautuminen</v>
      </c>
      <c r="C123" s="53" t="str">
        <f>_xlfn.CONCAT('Hankintaehtojen määrittely'!C123,CHAR(10),'Hankintaehtojen määrittely'!D123)</f>
        <v xml:space="preserve">Tietojenkäsittely-ympäristössä toteutetaan luotettavat menetelmät haittaohjelmauhkien ennaltaehkäisyyn, estämiseen, havaitsemiseen, vastustuskykyyn ja tilanteen korjaamiseen.
</v>
      </c>
      <c r="D123" s="38">
        <f>'Hankintaehtojen määrittely'!G123</f>
        <v>0</v>
      </c>
      <c r="E123" s="57">
        <f t="shared" si="1"/>
        <v>0</v>
      </c>
    </row>
    <row r="124" spans="1:5" ht="37.5">
      <c r="A124" s="53" t="str">
        <f>Kriteeristö!U124</f>
        <v>TEK-11.1, L:TL IV, E:, S:, TS:</v>
      </c>
      <c r="B124" s="38" t="str">
        <f>Kriteeristö!L124</f>
        <v>Haittaohjelmilta suojautuminen - TL IV</v>
      </c>
      <c r="C124" s="53" t="str">
        <f>_xlfn.CONCAT('Hankintaehtojen määrittely'!C124,CHAR(10),'Hankintaehtojen määrittely'!D124)</f>
        <v xml:space="preserve">Alikriteeri tarkentaa pääkriteerin vaatimusta.
</v>
      </c>
      <c r="D124" s="38">
        <f>'Hankintaehtojen määrittely'!G124</f>
        <v>0</v>
      </c>
      <c r="E124" s="57">
        <f t="shared" si="1"/>
        <v>0</v>
      </c>
    </row>
    <row r="125" spans="1:5" ht="37.5">
      <c r="A125" s="53" t="str">
        <f>Kriteeristö!U125</f>
        <v>TEK-11.2, L:TL III, E:, S:, TS:</v>
      </c>
      <c r="B125" s="38" t="str">
        <f>Kriteeristö!L125</f>
        <v>Haittaohjelmilta suojautuminen - TL III</v>
      </c>
      <c r="C125" s="53" t="str">
        <f>_xlfn.CONCAT('Hankintaehtojen määrittely'!C125,CHAR(10),'Hankintaehtojen määrittely'!D125)</f>
        <v xml:space="preserve">Alikriteeri tarkentaa pääkriteerin vaatimusta.
</v>
      </c>
      <c r="D125" s="38">
        <f>'Hankintaehtojen määrittely'!G125</f>
        <v>0</v>
      </c>
      <c r="E125" s="57">
        <f t="shared" si="1"/>
        <v>0</v>
      </c>
    </row>
    <row r="126" spans="1:5" ht="37.5">
      <c r="A126" s="53" t="str">
        <f>Kriteeristö!U126</f>
        <v>TEK-11.3, L:TL II, E:, S:, TS:</v>
      </c>
      <c r="B126" s="38" t="str">
        <f>Kriteeristö!L126</f>
        <v>Haittaohjelmilta suojautuminen - TL II</v>
      </c>
      <c r="C126" s="53" t="str">
        <f>_xlfn.CONCAT('Hankintaehtojen määrittely'!C126,CHAR(10),'Hankintaehtojen määrittely'!D126)</f>
        <v xml:space="preserve">Alikriteeri tarkentaa pääkriteerin vaatimusta.
</v>
      </c>
      <c r="D126" s="38">
        <f>'Hankintaehtojen määrittely'!G126</f>
        <v>0</v>
      </c>
      <c r="E126" s="57">
        <f t="shared" si="1"/>
        <v>0</v>
      </c>
    </row>
    <row r="127" spans="1:5" ht="87.6">
      <c r="A127" s="53" t="str">
        <f>Kriteeristö!U127</f>
        <v>TEK-12, L:Julkinen, E:Vähäinen, S:Vähäinen, TS:Henkilötieto</v>
      </c>
      <c r="B127" s="38" t="str">
        <f>Kriteeristö!L127</f>
        <v>Turvallisuuteen liittyvien tapahtumien jäljitettävyys</v>
      </c>
      <c r="C127" s="53" t="str">
        <f>_xlfn.CONCAT('Hankintaehtojen määrittely'!C127,CHAR(10),'Hankintaehtojen määrittely'!D127)</f>
        <v xml:space="preserve">Tietojen luvattoman muuttamisen ja muun luvattoman tai asiattoman tietojen käsittelyn havaitsemiseksi tietojenkäsittely-ympäristössä toteutetaan luotettavat menetelmät turvallisuuteen liittyvien tapahtumien jäljitettävyyden varmistamiseksi.
</v>
      </c>
      <c r="D127" s="38">
        <f>'Hankintaehtojen määrittely'!G127</f>
        <v>0</v>
      </c>
      <c r="E127" s="57">
        <f t="shared" si="1"/>
        <v>0</v>
      </c>
    </row>
    <row r="128" spans="1:5" ht="75">
      <c r="A128" s="53" t="str">
        <f>Kriteeristö!U128</f>
        <v>TEK-12.1, L:Julkinen, E:Vähäinen, S:Vähäinen, TS:Henkilötieto</v>
      </c>
      <c r="B128" s="38" t="str">
        <f>Kriteeristö!L128</f>
        <v>Turvallisuuteen liittyvien tapahtumien jäljitettävyys - tietojen luovutukset</v>
      </c>
      <c r="C128" s="53" t="str">
        <f>_xlfn.CONCAT('Hankintaehtojen määrittely'!C128,CHAR(10),'Hankintaehtojen määrittely'!D128)</f>
        <v xml:space="preserve">Tietojärjestelmien käytöstä ja niistä tehtävistä tietojen luovutuksista kerätään tarpeelliset lokitiedot, jos tietojärjestelmän käyttö edellyttää tunnistautumista tai muuta kirjautumista.
</v>
      </c>
      <c r="D128" s="38">
        <f>'Hankintaehtojen määrittely'!G128</f>
        <v>0</v>
      </c>
      <c r="E128" s="57">
        <f t="shared" si="1"/>
        <v>0</v>
      </c>
    </row>
    <row r="129" spans="1:5" ht="62.45">
      <c r="A129" s="53" t="str">
        <f>Kriteeristö!U129</f>
        <v>TEK-12.2, L:TL III, E:, S:, TS:</v>
      </c>
      <c r="B129" s="38" t="str">
        <f>Kriteeristö!L129</f>
        <v>Turvallisuuteen liittyvien tapahtumien jäljitettävyys - TL III</v>
      </c>
      <c r="C129" s="53" t="str">
        <f>_xlfn.CONCAT('Hankintaehtojen määrittely'!C129,CHAR(10),'Hankintaehtojen määrittely'!D129)</f>
        <v xml:space="preserve">Turvallisuusluokan II–III tiedon käsittely on rekisteröitävä sähköiseen lokiin, tietojärjestelmään, asiarekisteriin tai tietoon (esimerkiksi dokumentin osaksi).
</v>
      </c>
      <c r="D129" s="38">
        <f>'Hankintaehtojen määrittely'!G129</f>
        <v>0</v>
      </c>
      <c r="E129" s="57">
        <f t="shared" si="1"/>
        <v>0</v>
      </c>
    </row>
    <row r="130" spans="1:5" ht="62.45">
      <c r="A130" s="53" t="str">
        <f>Kriteeristö!U130</f>
        <v>TEK-12.3, L:TL I, E:, S:, TS:</v>
      </c>
      <c r="B130" s="38" t="str">
        <f>Kriteeristö!L130</f>
        <v>Turvallisuuteen liittyvien tapahtumien jäljitettävyys - TL I</v>
      </c>
      <c r="C130" s="53" t="str">
        <f>_xlfn.CONCAT('Hankintaehtojen määrittely'!C130,CHAR(10),'Hankintaehtojen määrittely'!D130)</f>
        <v xml:space="preserve">Alikriteeri tarkentaa pääkriteerin vaatimusta.
</v>
      </c>
      <c r="D130" s="38">
        <f>'Hankintaehtojen määrittely'!G130</f>
        <v>0</v>
      </c>
      <c r="E130" s="57">
        <f t="shared" si="1"/>
        <v>0</v>
      </c>
    </row>
    <row r="131" spans="1:5" ht="112.5">
      <c r="A131" s="53" t="str">
        <f>Kriteeristö!U131</f>
        <v>TEK-13, L:Salassa pidettävä, E:Tärkeä, S:Tärkeä, TS:Erityinen henkilötietoryhmä</v>
      </c>
      <c r="B131" s="38" t="str">
        <f>Kriteeristö!L131</f>
        <v>Poikkeamien havainnointikyky ja toipuminen</v>
      </c>
      <c r="C131" s="53" t="str">
        <f>_xlfn.CONCAT('Hankintaehtojen määrittely'!C131,CHAR(10),'Hankintaehtojen määrittely'!D131)</f>
        <v xml:space="preserve">Tietojenkäsittely-ympäristössä toteutetaan luotettavat menetelmät, joilla pyritään havaitsemaan hyökkäys tietojenkäsittely-ympäristöä vastaan, rajoittamaan hyökkäyksen vaikutukset mahdollisimman pieneen osaan tietoja tai tietojenkäsittely-ympäristön resursseja ja estämään muut vahingot, sekä palauttamaan tietojenkäsittely-ympäristön suojattu tilanne viipymättä.
</v>
      </c>
      <c r="D131" s="38">
        <f>'Hankintaehtojen määrittely'!G131</f>
        <v>0</v>
      </c>
      <c r="E131" s="57">
        <f t="shared" si="1"/>
        <v>0</v>
      </c>
    </row>
    <row r="132" spans="1:5" ht="75">
      <c r="A132" s="53" t="str">
        <f>Kriteeristö!U132</f>
        <v>TEK-13.1, L:Salassa pidettävä, E:Tärkeä, S:, TS:Erityinen henkilötietoryhmä</v>
      </c>
      <c r="B132" s="38" t="str">
        <f>Kriteeristö!L132</f>
        <v>Poikkeamien havainnointikyky ja toipuminen - poikkeamien havainnointi lokitiedoista</v>
      </c>
      <c r="C132" s="53" t="str">
        <f>_xlfn.CONCAT('Hankintaehtojen määrittely'!C132,CHAR(10),'Hankintaehtojen määrittely'!D132)</f>
        <v xml:space="preserve">Alikriteeri tarkentaa pääkriteerin vaatimusta.
</v>
      </c>
      <c r="D132" s="38">
        <f>'Hankintaehtojen määrittely'!G132</f>
        <v>0</v>
      </c>
      <c r="E132" s="57">
        <f t="shared" ref="E132:E195" si="2">IF(D132="Sisältyy",1,0)</f>
        <v>0</v>
      </c>
    </row>
    <row r="133" spans="1:5" ht="50.1">
      <c r="A133" s="53" t="str">
        <f>Kriteeristö!U133</f>
        <v>TEK-13.2, L:TL IV, E:Tärkeä, S:, TS:</v>
      </c>
      <c r="B133" s="38" t="str">
        <f>Kriteeristö!L133</f>
        <v>Poikkeamien havainnointikyky ja toipuminen - TL IV</v>
      </c>
      <c r="C133" s="53" t="str">
        <f>_xlfn.CONCAT('Hankintaehtojen määrittely'!C133,CHAR(10),'Hankintaehtojen määrittely'!D133)</f>
        <v xml:space="preserve">Alikriteeri tarkentaa pääkriteerin vaatimusta.
</v>
      </c>
      <c r="D133" s="38">
        <f>'Hankintaehtojen määrittely'!G133</f>
        <v>0</v>
      </c>
      <c r="E133" s="57">
        <f t="shared" si="2"/>
        <v>0</v>
      </c>
    </row>
    <row r="134" spans="1:5" ht="50.1">
      <c r="A134" s="53" t="str">
        <f>Kriteeristö!U134</f>
        <v>TEK-13.3, L:TL I, E:, S:, TS:</v>
      </c>
      <c r="B134" s="38" t="str">
        <f>Kriteeristö!L134</f>
        <v>Poikkeamien havainnointikyky ja toipuminen - TL I</v>
      </c>
      <c r="C134" s="53" t="str">
        <f>_xlfn.CONCAT('Hankintaehtojen määrittely'!C134,CHAR(10),'Hankintaehtojen määrittely'!D134)</f>
        <v xml:space="preserve">Käyttäjien ja ylläpitäjien toimintaa seurataan poikkeuksellisen toiminnan havaitsemiseksi.
</v>
      </c>
      <c r="D134" s="38">
        <f>'Hankintaehtojen määrittely'!G134</f>
        <v>0</v>
      </c>
      <c r="E134" s="57">
        <f t="shared" si="2"/>
        <v>0</v>
      </c>
    </row>
    <row r="135" spans="1:5" ht="99.95">
      <c r="A135" s="53" t="str">
        <f>Kriteeristö!U135</f>
        <v>TEK-14, L:Julkinen, E:Vähäinen, S:Vähäinen, TS:Henkilötieto</v>
      </c>
      <c r="B135" s="38" t="str">
        <f>Kriteeristö!L135</f>
        <v>Ohjelmistojen turvallisuuden varmistaminen</v>
      </c>
      <c r="C135" s="53" t="str">
        <f>_xlfn.CONCAT('Hankintaehtojen määrittely'!C135,CHAR(10),'Hankintaehtojen määrittely'!D135)</f>
        <v xml:space="preserve">Sovellukset ja ohjelmointirajapinnat (API:t) suunnitellaan, kehitetään, testataan ja otetaan käyttöön alan hyvien turvallisuuskäytäntöjen mukaisesti. Sovellusten ja rajapintojen on kestettävä niitä vastaan käytettävissä olevat yleiset hyökkäysmenetelmät ilman, että käsiteltävien tietojen luottamuksellisuus, eheys tai saatavuus vaarantuu.
</v>
      </c>
      <c r="D135" s="38">
        <f>'Hankintaehtojen määrittely'!G135</f>
        <v>0</v>
      </c>
      <c r="E135" s="57">
        <f t="shared" si="2"/>
        <v>0</v>
      </c>
    </row>
    <row r="136" spans="1:5" ht="125.1">
      <c r="A136" s="53" t="str">
        <f>Kriteeristö!U136</f>
        <v>TEK-15, L:TL III, E:, S:, TS:</v>
      </c>
      <c r="B136" s="38" t="str">
        <f>Kriteeristö!L136</f>
        <v>Hajasäteily (TEMPEST) ja elektroninen tiedustelu</v>
      </c>
      <c r="C136" s="53" t="str">
        <f>_xlfn.CONCAT('Hankintaehtojen määrittely'!C136,CHAR(10),'Hankintaehtojen määrittely'!D136)</f>
        <v xml:space="preserve">Turvatoimia toteutetaan turvallisuusluokiteltuihin tietoihin liittyvässä tietojenkäsittely-ympäristössä riittävän turvallisilla menetelmillä niin, että tahattomat sähkömagneettiset vuodot eivät vaaranna tietoja (TEMPEST-turvatoimet). Nämä turvatoimet on suhteutettava tiedon hyväksikäytön riskiin ja turvallisuusluokkaan. Käsiteltäessä turvallisuusluokan III tai II tietoja sähköisesti, on pidettävä huolta, että elektroniseen tiedusteluun liittyviä riskejä on pienennetty riittävästi.
</v>
      </c>
      <c r="D136" s="38">
        <f>'Hankintaehtojen määrittely'!G136</f>
        <v>0</v>
      </c>
      <c r="E136" s="57">
        <f t="shared" si="2"/>
        <v>0</v>
      </c>
    </row>
    <row r="137" spans="1:5" ht="62.45">
      <c r="A137" s="53" t="str">
        <f>Kriteeristö!U137</f>
        <v>TEK-15.1, L:TL II, E:, S:, TS:</v>
      </c>
      <c r="B137" s="38" t="str">
        <f>Kriteeristö!L137</f>
        <v>Hajasäteily (TEMPEST) ja elektroninen tiedustelu - TL II</v>
      </c>
      <c r="C137" s="53" t="str">
        <f>_xlfn.CONCAT('Hankintaehtojen määrittely'!C137,CHAR(10),'Hankintaehtojen määrittely'!D137)</f>
        <v xml:space="preserve">Alikriteeri tarkentaa pääkriteerin vaatimusta.
</v>
      </c>
      <c r="D137" s="38">
        <f>'Hankintaehtojen määrittely'!G137</f>
        <v>0</v>
      </c>
      <c r="E137" s="57">
        <f t="shared" si="2"/>
        <v>0</v>
      </c>
    </row>
    <row r="138" spans="1:5" ht="50.1">
      <c r="A138" s="53" t="str">
        <f>Kriteeristö!U138</f>
        <v>TEK-15.2, L:TL I, E:, S:, TS:</v>
      </c>
      <c r="B138" s="38" t="str">
        <f>Kriteeristö!L138</f>
        <v>Hajasäteily (TEMPEST) ja elektroninen tiedustelu - TL I</v>
      </c>
      <c r="C138" s="53" t="str">
        <f>_xlfn.CONCAT('Hankintaehtojen määrittely'!C138,CHAR(10),'Hankintaehtojen määrittely'!D138)</f>
        <v xml:space="preserve">Alikriteeri tarkentaa pääkriteerin vaatimusta.
</v>
      </c>
      <c r="D138" s="38">
        <f>'Hankintaehtojen määrittely'!G138</f>
        <v>0</v>
      </c>
      <c r="E138" s="57">
        <f t="shared" si="2"/>
        <v>0</v>
      </c>
    </row>
    <row r="139" spans="1:5" ht="125.1">
      <c r="A139" s="53" t="str">
        <f>Kriteeristö!U139</f>
        <v>TEK-16, L:Salassa pidettävä, E:Tärkeä, S:, TS:Erityinen henkilötietoryhmä</v>
      </c>
      <c r="B139" s="38" t="str">
        <f>Kriteeristö!L139</f>
        <v xml:space="preserve">Tiedon salaaminen
</v>
      </c>
      <c r="C139" s="53" t="str">
        <f>_xlfn.CONCAT('Hankintaehtojen määrittely'!C139,CHAR(10),'Hankintaehtojen määrittely'!D139)</f>
        <v xml:space="preserve">Kun salassa pidettävää tietoa siirretään yleisissä tietoverkoissa, tieto salataan salausratkaisulla, jossa ei ole tunnettuja haavoittuvuuksia ja joka tukee valmistajalta saatujen tietojen mukaan moderneja salausvahvuuksia ja -asetuksia. Lisäksi tietojensiirto on järjestettävä siten, että vastaanottaja varmistetaan tai tunnistetaan riittävän tietoturvallisella tavalla ennen kuin vastaanottaja pääsee käsittelemään siirrettyjä turvallisuusluokittelemattomia salassa pidettäviä tietoja.
</v>
      </c>
      <c r="D139" s="38">
        <f>'Hankintaehtojen määrittely'!G139</f>
        <v>0</v>
      </c>
      <c r="E139" s="57">
        <f t="shared" si="2"/>
        <v>0</v>
      </c>
    </row>
    <row r="140" spans="1:5" ht="75">
      <c r="A140" s="53" t="str">
        <f>Kriteeristö!U140</f>
        <v>TEK-16.1, L:Salassa pidettävä, E:Tärkeä, S:, TS:Erityinen henkilötietoryhmä</v>
      </c>
      <c r="B140" s="38" t="str">
        <f>Kriteeristö!L140</f>
        <v xml:space="preserve">Tiedon salaaminen - salaaminen turvallisuusalueen sisällä
</v>
      </c>
      <c r="C140" s="53" t="str">
        <f>_xlfn.CONCAT('Hankintaehtojen määrittely'!C140,CHAR(10),'Hankintaehtojen määrittely'!D140)</f>
        <v xml:space="preserve">Kun salassa pidettävää tietoa siirretään viranomaisen sisäisessä verkossa, voidaan käyttää alemman tason salausta tai salaamatonta tiedonsiirtoa riskinhallintaprosessin tulosten perusteella.
</v>
      </c>
      <c r="D140" s="38">
        <f>'Hankintaehtojen määrittely'!G140</f>
        <v>0</v>
      </c>
      <c r="E140" s="57">
        <f t="shared" si="2"/>
        <v>0</v>
      </c>
    </row>
    <row r="141" spans="1:5" ht="112.5">
      <c r="A141" s="53" t="str">
        <f>Kriteeristö!U141</f>
        <v>TEK-16.2, L:TL IV, E:, S:, TS:</v>
      </c>
      <c r="B141" s="38" t="str">
        <f>Kriteeristö!L141</f>
        <v>Tiedon salaaminen - turvallisuusluokitellun tiedon siirto turvallisuusalueiden ulkopuolella</v>
      </c>
      <c r="C141" s="53" t="str">
        <f>_xlfn.CONCAT('Hankintaehtojen määrittely'!C141,CHAR(10),'Hankintaehtojen määrittely'!D141)</f>
        <v xml:space="preserve">Kun turvallisuusluokiteltua tietoa siirretään hyväksyttyjen fyysisesti suojattujen turvallisuusalueiden ulkopuolella, tieto/tietoliikenne salataan riittävän turvallisella menetelmällä. Lisäksi tietojensiirto on järjestettävä siten, että vastaanottaja varmistetaan tai tunnistetaan riittävän tietoturvallisella tavalla ennen kuin vastaanottaja pääsee käsittelemään siirrettyjä turvallisuusluokiteltuja tietoja.
</v>
      </c>
      <c r="D141" s="38">
        <f>'Hankintaehtojen määrittely'!G141</f>
        <v>0</v>
      </c>
      <c r="E141" s="57">
        <f t="shared" si="2"/>
        <v>0</v>
      </c>
    </row>
    <row r="142" spans="1:5" ht="87.6">
      <c r="A142" s="53" t="str">
        <f>Kriteeristö!U142</f>
        <v>TEK-16.3, L:TL IV, E:, S:, TS:</v>
      </c>
      <c r="B142" s="38" t="str">
        <f>Kriteeristö!L142</f>
        <v>Tiedon salaaminen - turvallisuusluokitellun tiedon siirto turvallisuusalueiden sisällä</v>
      </c>
      <c r="C142" s="53" t="str">
        <f>_xlfn.CONCAT('Hankintaehtojen määrittely'!C142,CHAR(10),'Hankintaehtojen määrittely'!D142)</f>
        <v xml:space="preserve">Kun turvallisuusluokiteltua tietoa siirretään hyväksyttyjen fyysisesti suojattujen turvallisuusalueiden sisäpuolella, alemman tason salausta tai salaamatonta siirtoa voidaan käyttää riskinhallintaprosessin tulosten perusteella toimivaltaisen viranomaisen erillishyväksyntään perustuen.
</v>
      </c>
      <c r="D142" s="38">
        <f>'Hankintaehtojen määrittely'!G142</f>
        <v>0</v>
      </c>
      <c r="E142" s="57">
        <f t="shared" si="2"/>
        <v>0</v>
      </c>
    </row>
    <row r="143" spans="1:5" ht="125.1">
      <c r="A143" s="53" t="str">
        <f>Kriteeristö!U143</f>
        <v>TEK-16.4, L:TL III, E:, S:, TS:</v>
      </c>
      <c r="B143" s="38" t="str">
        <f>Kriteeristö!L143</f>
        <v>Tiedon salaaminen - TL III</v>
      </c>
      <c r="C143" s="53" t="str">
        <f>_xlfn.CONCAT('Hankintaehtojen määrittely'!C143,CHAR(10),'Hankintaehtojen määrittely'!D143)</f>
        <v xml:space="preserve">Vain turvallisuusluokan III sähköisten tietojen säilytys on mahdollista kyseisen turvallisuusluokan mukaisessa päätelaitteessa turva-alueen ulkopuolella edellyttäen, että a) tiedot on suojattu ko. turvallisuusluokalle riittävän turvallisella salausratkaisulla , ja että b) päätelaitteen tietoturvallisuudesta, erityisesti ko. turvallisuusluokalle edellytettävästä luottamuksellisuudesta ja eheydestä on huolehdittu riittävin menettelyin.
</v>
      </c>
      <c r="D143" s="38">
        <f>'Hankintaehtojen määrittely'!G143</f>
        <v>0</v>
      </c>
      <c r="E143" s="57">
        <f t="shared" si="2"/>
        <v>0</v>
      </c>
    </row>
    <row r="144" spans="1:5" ht="37.5">
      <c r="A144" s="53" t="str">
        <f>Kriteeristö!U144</f>
        <v>TEK-16.5, L:TL I, E:, S:, TS:</v>
      </c>
      <c r="B144" s="38" t="str">
        <f>Kriteeristö!L144</f>
        <v>Tiedon salaaminen - TL I</v>
      </c>
      <c r="C144" s="53" t="str">
        <f>_xlfn.CONCAT('Hankintaehtojen määrittely'!C144,CHAR(10),'Hankintaehtojen määrittely'!D144)</f>
        <v xml:space="preserve">Alikriteeri tarkentaa pääkriteerin vaatimusta.
</v>
      </c>
      <c r="D144" s="38">
        <f>'Hankintaehtojen määrittely'!G144</f>
        <v>0</v>
      </c>
      <c r="E144" s="57">
        <f t="shared" si="2"/>
        <v>0</v>
      </c>
    </row>
    <row r="145" spans="1:5" ht="50.1">
      <c r="A145" s="53" t="str">
        <f>Kriteeristö!U145</f>
        <v>TEK-17, L:Julkinen, E:Vähäinen, S:Vähäinen, TS:Henkilötieto</v>
      </c>
      <c r="B145" s="38" t="str">
        <f>Kriteeristö!L145</f>
        <v>Muutoshallintamenettelyt</v>
      </c>
      <c r="C145" s="53" t="str">
        <f>_xlfn.CONCAT('Hankintaehtojen määrittely'!C145,CHAR(10),'Hankintaehtojen määrittely'!D145)</f>
        <v xml:space="preserve">Tietojenkäsittely-ympäristöön tehtäviin muutoksiin on käytössä turvallisuuden huomioiva muutostenhallintamenettely.
</v>
      </c>
      <c r="D145" s="38">
        <f>'Hankintaehtojen määrittely'!G145</f>
        <v>0</v>
      </c>
      <c r="E145" s="57">
        <f t="shared" si="2"/>
        <v>0</v>
      </c>
    </row>
    <row r="146" spans="1:5" ht="75">
      <c r="A146" s="53" t="str">
        <f>Kriteeristö!U146</f>
        <v>TEK-17.1, L:Julkinen, E:Vähäinen, S:Vähäinen, TS:Henkilötieto</v>
      </c>
      <c r="B146" s="38" t="str">
        <f>Kriteeristö!L146</f>
        <v>Muutoshallintamenettelyt - uudelleenarviointi</v>
      </c>
      <c r="C146" s="53" t="str">
        <f>_xlfn.CONCAT('Hankintaehtojen määrittely'!C146,CHAR(10),'Hankintaehtojen määrittely'!D146)</f>
        <v xml:space="preserve">Tietoturvallisuutta koskevat tarkastukset ja uudelleentarkastelut suoritetaan määräajoin tietojenkäsittely-ympäristön toiminnan ja huollon aikana sekä poikkeuksellisten tilanteiden ilmetessä.
</v>
      </c>
      <c r="D146" s="38">
        <f>'Hankintaehtojen määrittely'!G146</f>
        <v>0</v>
      </c>
      <c r="E146" s="57">
        <f t="shared" si="2"/>
        <v>0</v>
      </c>
    </row>
    <row r="147" spans="1:5" ht="62.45">
      <c r="A147" s="53" t="str">
        <f>Kriteeristö!U147</f>
        <v>TEK-17.2, L:Julkinen, E:Vähäinen, S:Vähäinen, TS:Henkilötieto</v>
      </c>
      <c r="B147" s="38" t="str">
        <f>Kriteeristö!L147</f>
        <v>Muutoshallintamenettelyt - dokumentointi</v>
      </c>
      <c r="C147" s="53" t="str">
        <f>_xlfn.CONCAT('Hankintaehtojen määrittely'!C147,CHAR(10),'Hankintaehtojen määrittely'!D147)</f>
        <v xml:space="preserve">Tietojenkäsittely-ympäristön turvallisuusasiakirjoja kehitetään sen elinkaaren aikana erottamattomana osana muutosten- ja asetustenhallintaprosessia.
</v>
      </c>
      <c r="D147" s="38">
        <f>'Hankintaehtojen määrittely'!G147</f>
        <v>0</v>
      </c>
      <c r="E147" s="57">
        <f t="shared" si="2"/>
        <v>0</v>
      </c>
    </row>
    <row r="148" spans="1:5" ht="37.5">
      <c r="A148" s="53" t="str">
        <f>Kriteeristö!U148</f>
        <v>TEK-17.3, L:TL IV, E:Tärkeä, S:Tärkeä, TS:</v>
      </c>
      <c r="B148" s="38" t="str">
        <f>Kriteeristö!L148</f>
        <v>Muutoshallintamenettelyt - TL IV</v>
      </c>
      <c r="C148" s="53" t="str">
        <f>_xlfn.CONCAT('Hankintaehtojen määrittely'!C148,CHAR(10),'Hankintaehtojen määrittely'!D148)</f>
        <v xml:space="preserve">Alikriteeri tarkentaa pääkriteerin vaatimusta.
</v>
      </c>
      <c r="D148" s="38">
        <f>'Hankintaehtojen määrittely'!G148</f>
        <v>0</v>
      </c>
      <c r="E148" s="57">
        <f t="shared" si="2"/>
        <v>0</v>
      </c>
    </row>
    <row r="149" spans="1:5" ht="37.5">
      <c r="A149" s="53" t="str">
        <f>Kriteeristö!U149</f>
        <v>TEK-17.4, L:TL II, E:Kriittinen, S:Kriittinen, TS:</v>
      </c>
      <c r="B149" s="38" t="str">
        <f>Kriteeristö!L149</f>
        <v>Muutoshallintamenettelyt - TL II</v>
      </c>
      <c r="C149" s="53" t="str">
        <f>_xlfn.CONCAT('Hankintaehtojen määrittely'!C149,CHAR(10),'Hankintaehtojen määrittely'!D149)</f>
        <v xml:space="preserve">Alikriteeri tarkentaa pääkriteerin vaatimusta.
</v>
      </c>
      <c r="D149" s="38">
        <f>'Hankintaehtojen määrittely'!G149</f>
        <v>0</v>
      </c>
      <c r="E149" s="57">
        <f t="shared" si="2"/>
        <v>0</v>
      </c>
    </row>
    <row r="150" spans="1:5" ht="50.1">
      <c r="A150" s="53" t="str">
        <f>Kriteeristö!U150</f>
        <v>TEK-18, L:Salassa pidettävä, E:Normaali, S:, TS:Henkilötieto</v>
      </c>
      <c r="B150" s="38" t="str">
        <f>Kriteeristö!L150</f>
        <v>Etäkäyttö</v>
      </c>
      <c r="C150" s="53" t="str">
        <f>_xlfn.CONCAT('Hankintaehtojen määrittely'!C150,CHAR(10),'Hankintaehtojen määrittely'!D150)</f>
        <v xml:space="preserve">Etäkäytössä käyttäjät ohjeistettu ja tunnistetaan riittävän luotettavasti.
</v>
      </c>
      <c r="D150" s="38">
        <f>'Hankintaehtojen määrittely'!G150</f>
        <v>0</v>
      </c>
      <c r="E150" s="57">
        <f t="shared" si="2"/>
        <v>0</v>
      </c>
    </row>
    <row r="151" spans="1:5" ht="99.95">
      <c r="A151" s="53" t="str">
        <f>Kriteeristö!U151</f>
        <v>TEK-18.1, L:Salassa pidettävä, E:Tärkeä, S:, TS:Erityinen henkilötietoryhmä</v>
      </c>
      <c r="B151" s="38" t="str">
        <f>Kriteeristö!L151</f>
        <v>Etäkäyttö - tietojen ja tietoliikenteen salaaminen</v>
      </c>
      <c r="C151" s="53" t="str">
        <f>_xlfn.CONCAT('Hankintaehtojen määrittely'!C151,CHAR(10),'Hankintaehtojen määrittely'!D151)</f>
        <v xml:space="preserve">Turvallisuusalueen ulkopuolella etäkäytössä käytettävät päätelaitteet, muistivälineet ja tietoliikenneyhteydet ovat suojattu käyttäen sellaisia salausratkaisuja, joissa ei ole tunnettuja haavoittuvuuksia ja jotka tukevat valmistajilta saatujen tietojen mukaan moderneja salausvahvuuksia ja -asetuksia.
</v>
      </c>
      <c r="D151" s="38">
        <f>'Hankintaehtojen määrittely'!G151</f>
        <v>0</v>
      </c>
      <c r="E151" s="57">
        <f t="shared" si="2"/>
        <v>0</v>
      </c>
    </row>
    <row r="152" spans="1:5" ht="75">
      <c r="A152" s="53" t="str">
        <f>Kriteeristö!U152</f>
        <v>TEK-18.2, L:TL IV, E:, S:, TS:</v>
      </c>
      <c r="B152" s="38" t="str">
        <f>Kriteeristö!L152</f>
        <v>Etäkäyttö - turvallisuusluokitettujen tietojen ja tietoliikenteen salaaminen</v>
      </c>
      <c r="C152" s="53" t="str">
        <f>_xlfn.CONCAT('Hankintaehtojen määrittely'!C152,CHAR(10),'Hankintaehtojen määrittely'!D152)</f>
        <v xml:space="preserve">Turvallisuusalueen ulkopuolella etäkäytössä käytettävät päätelaitteet, muistivälineet ja tietoliikenneyhteydet ovat suojattu käyttäen ko. turvallisuusluokan huomioiden riittävän turvallisia salausratkaisuja.
</v>
      </c>
      <c r="D152" s="38">
        <f>'Hankintaehtojen määrittely'!G152</f>
        <v>0</v>
      </c>
      <c r="E152" s="57">
        <f t="shared" si="2"/>
        <v>0</v>
      </c>
    </row>
    <row r="153" spans="1:5" ht="62.45">
      <c r="A153" s="53" t="str">
        <f>Kriteeristö!U153</f>
        <v>TEK-18.3, L:TL IV, E:Tärkeä, S:, TS:</v>
      </c>
      <c r="B153" s="38" t="str">
        <f>Kriteeristö!L153</f>
        <v>Etäkäyttö - käyttäjien vahva tunnistaminen</v>
      </c>
      <c r="C153" s="53" t="str">
        <f>_xlfn.CONCAT('Hankintaehtojen määrittely'!C153,CHAR(10),'Hankintaehtojen määrittely'!D153)</f>
        <v xml:space="preserve">Etäkäytössä järjestelmien käyttäjät tunnistetaan käyttäen vahvaa, vähintään kahteen todennustekijään perustuvaa käyttäjätunnistusta. 
</v>
      </c>
      <c r="D153" s="38">
        <f>'Hankintaehtojen määrittely'!G153</f>
        <v>0</v>
      </c>
      <c r="E153" s="57">
        <f t="shared" si="2"/>
        <v>0</v>
      </c>
    </row>
    <row r="154" spans="1:5" ht="50.1">
      <c r="A154" s="53" t="str">
        <f>Kriteeristö!U154</f>
        <v>TEK-18.4, L:TL IV, E:Kriittinen, S:, TS:</v>
      </c>
      <c r="B154" s="38" t="str">
        <f>Kriteeristö!L154</f>
        <v>Etäkäyttö - hyväksytyt laitteet</v>
      </c>
      <c r="C154" s="53" t="str">
        <f>_xlfn.CONCAT('Hankintaehtojen määrittely'!C154,CHAR(10),'Hankintaehtojen määrittely'!D154)</f>
        <v xml:space="preserve">Etäkäytössä käytetään vain käyttöympäristöön hyväksyttyjä ja tunnistettuja laitteita.
</v>
      </c>
      <c r="D154" s="38">
        <f>'Hankintaehtojen määrittely'!G154</f>
        <v>0</v>
      </c>
      <c r="E154" s="57">
        <f t="shared" si="2"/>
        <v>0</v>
      </c>
    </row>
    <row r="155" spans="1:5" ht="62.45">
      <c r="A155" s="53" t="str">
        <f>Kriteeristö!U155</f>
        <v>TEK-18.5, L:TL III, E:, S:, TS:</v>
      </c>
      <c r="B155" s="38" t="str">
        <f>Kriteeristö!L155</f>
        <v>Etäkäyttö - turvallisuusluokitellun tiedon käyttö julkisella paikalla</v>
      </c>
      <c r="C155" s="53" t="str">
        <f>_xlfn.CONCAT('Hankintaehtojen määrittely'!C155,CHAR(10),'Hankintaehtojen määrittely'!D155)</f>
        <v xml:space="preserve">Turvallisuusluokiteltuja tietoja ei lueta tai muuten käsitellä matkalla tai julkisilla paikoilla.
</v>
      </c>
      <c r="D155" s="38">
        <f>'Hankintaehtojen määrittely'!G155</f>
        <v>0</v>
      </c>
      <c r="E155" s="57">
        <f t="shared" si="2"/>
        <v>0</v>
      </c>
    </row>
    <row r="156" spans="1:5" ht="37.5">
      <c r="A156" s="53" t="str">
        <f>Kriteeristö!U156</f>
        <v>TEK-18.6, L:TL III, E:Kriittinen, S:, TS:</v>
      </c>
      <c r="B156" s="38" t="str">
        <f>Kriteeristö!L156</f>
        <v>Etäkäyttö - laitetunnistus</v>
      </c>
      <c r="C156" s="53" t="str">
        <f>_xlfn.CONCAT('Hankintaehtojen määrittely'!C156,CHAR(10),'Hankintaehtojen määrittely'!D156)</f>
        <v xml:space="preserve">Alikriteeri tarkentaa pääkriteerin vaatimusta.
</v>
      </c>
      <c r="D156" s="38">
        <f>'Hankintaehtojen määrittely'!G156</f>
        <v>0</v>
      </c>
      <c r="E156" s="57">
        <f t="shared" si="2"/>
        <v>0</v>
      </c>
    </row>
    <row r="157" spans="1:5" ht="125.1">
      <c r="A157" s="53" t="str">
        <f>Kriteeristö!U157</f>
        <v>TEK-18.7, L:TL III, E:Kriittinen, S:, TS:</v>
      </c>
      <c r="B157" s="38" t="str">
        <f>Kriteeristö!L157</f>
        <v>Etäkäyttö - TL III</v>
      </c>
      <c r="C157" s="53" t="str">
        <f>_xlfn.CONCAT('Hankintaehtojen määrittely'!C157,CHAR(10),'Hankintaehtojen määrittely'!D157)</f>
        <v xml:space="preserve">Turvallisuusluokan III sähköisten tietojen etäkäyttö (käsittely) ja säilytys on mahdollista kyseisen turvallisuusluokan mukaisessa päätelaitteessa turva-alueiden ulkopuolella edellyttäen, että a) tiedot on suojattu ko. turvallisuusluokalle riittävän turvallisella salausratkaisulla, ja että b) päätelaitteen tietoturvallisuudesta, erityisesti ko. turvallisuusluokalle edellytettävästä luottamuksellisuudesta ja eheydestä on huolehdittu riittävin menettelyin.
</v>
      </c>
      <c r="D157" s="38">
        <f>'Hankintaehtojen määrittely'!G157</f>
        <v>0</v>
      </c>
      <c r="E157" s="57">
        <f t="shared" si="2"/>
        <v>0</v>
      </c>
    </row>
    <row r="158" spans="1:5" ht="50.1">
      <c r="A158" s="53" t="str">
        <f>Kriteeristö!U158</f>
        <v>TEK-18.8, L:TL II, E:, S:, TS:</v>
      </c>
      <c r="B158" s="38" t="str">
        <f>Kriteeristö!L158</f>
        <v>Etäkäyttö - etäkäyttö turvallisuusalueella</v>
      </c>
      <c r="C158" s="53" t="str">
        <f>_xlfn.CONCAT('Hankintaehtojen määrittely'!C158,CHAR(10),'Hankintaehtojen määrittely'!D158)</f>
        <v xml:space="preserve">Järjestelmien etäkäyttö rajataan toimivaltaisen viranomaisen hyväksymälle turvallisuusalueelle.
</v>
      </c>
      <c r="D158" s="38">
        <f>'Hankintaehtojen määrittely'!G158</f>
        <v>0</v>
      </c>
      <c r="E158" s="57">
        <f t="shared" si="2"/>
        <v>0</v>
      </c>
    </row>
    <row r="159" spans="1:5" ht="37.5">
      <c r="A159" s="53" t="str">
        <f>Kriteeristö!U159</f>
        <v>TEK-18.9, L:TL I, E:, S:, TS:</v>
      </c>
      <c r="B159" s="38" t="str">
        <f>Kriteeristö!L159</f>
        <v>Etäkäyttö - TL I</v>
      </c>
      <c r="C159" s="53" t="str">
        <f>_xlfn.CONCAT('Hankintaehtojen määrittely'!C159,CHAR(10),'Hankintaehtojen määrittely'!D159)</f>
        <v xml:space="preserve">Alikriteeri tarkentaa pääkriteerin vaatimusta.
</v>
      </c>
      <c r="D159" s="38">
        <f>'Hankintaehtojen määrittely'!G159</f>
        <v>0</v>
      </c>
      <c r="E159" s="57">
        <f t="shared" si="2"/>
        <v>0</v>
      </c>
    </row>
    <row r="160" spans="1:5" ht="62.45">
      <c r="A160" s="53" t="str">
        <f>Kriteeristö!U160</f>
        <v>TEK-19, L:Julkinen, E:Vähäinen, S:Vähäinen, TS:Henkilötieto</v>
      </c>
      <c r="B160" s="38" t="str">
        <f>Kriteeristö!L160</f>
        <v>Ohjelmistohaavoittuvuuksien hallinta</v>
      </c>
      <c r="C160" s="53" t="str">
        <f>_xlfn.CONCAT('Hankintaehtojen määrittely'!C160,CHAR(10),'Hankintaehtojen määrittely'!D160)</f>
        <v xml:space="preserve">Tietojenkäsittely-ympäristön koko elinkaaren ajalle toteutetaan luotettavat menettelyt ohjelmistohaavoittuvuuksien hallitsemiseksi.
</v>
      </c>
      <c r="D160" s="38">
        <f>'Hankintaehtojen määrittely'!G160</f>
        <v>0</v>
      </c>
      <c r="E160" s="57">
        <f t="shared" si="2"/>
        <v>0</v>
      </c>
    </row>
    <row r="161" spans="1:5" ht="62.45">
      <c r="A161" s="53" t="str">
        <f>Kriteeristö!U161</f>
        <v>TEK-19.1, L:TL IV, E:Tärkeä, S:Tärkeä, TS:</v>
      </c>
      <c r="B161" s="38" t="str">
        <f>Kriteeristö!L161</f>
        <v>Ohjelmistohaavoittuvuuksien hallinta - TL IV</v>
      </c>
      <c r="C161" s="53" t="str">
        <f>_xlfn.CONCAT('Hankintaehtojen määrittely'!C161,CHAR(10),'Hankintaehtojen määrittely'!D161)</f>
        <v xml:space="preserve">Tietojenkäsittely-ympäristön laitteet tarkastetaan kattavasti ohjelmistohaavoittuvuuksien varalta vähintään vuosittain ja merkittävien muutosten yhteydessä.
</v>
      </c>
      <c r="D161" s="38">
        <f>'Hankintaehtojen määrittely'!G161</f>
        <v>0</v>
      </c>
      <c r="E161" s="57">
        <f t="shared" si="2"/>
        <v>0</v>
      </c>
    </row>
    <row r="162" spans="1:5" ht="62.45">
      <c r="A162" s="53" t="str">
        <f>Kriteeristö!U162</f>
        <v>TEK-19.2, L:TL III, E:Kriittinen, S:Kriittinen, TS:</v>
      </c>
      <c r="B162" s="38" t="str">
        <f>Kriteeristö!L162</f>
        <v>Ohjelmistohaavoittuvuuksien hallinta - TL III</v>
      </c>
      <c r="C162" s="53" t="str">
        <f>_xlfn.CONCAT('Hankintaehtojen määrittely'!C162,CHAR(10),'Hankintaehtojen määrittely'!D162)</f>
        <v xml:space="preserve">Tietojenkäsittely-ympäristön laitteet tarkastetaan kattavasti ohjelmistohaavoittuvuuksien varalta vähintään puolivuosittain ja merkittävien muutosten yhteydessä.
</v>
      </c>
      <c r="D162" s="38">
        <f>'Hankintaehtojen määrittely'!G162</f>
        <v>0</v>
      </c>
      <c r="E162" s="57">
        <f t="shared" si="2"/>
        <v>0</v>
      </c>
    </row>
    <row r="163" spans="1:5" ht="62.45">
      <c r="A163" s="53" t="str">
        <f>Kriteeristö!U163</f>
        <v>TEK-20, L:Julkinen, E:Vähäinen, S:Vähäinen, TS:Henkilötieto</v>
      </c>
      <c r="B163" s="38" t="str">
        <f>Kriteeristö!L163</f>
        <v>Varmuuskopiointi</v>
      </c>
      <c r="C163" s="53" t="str">
        <f>_xlfn.CONCAT('Hankintaehtojen määrittely'!C163,CHAR(10),'Hankintaehtojen määrittely'!D163)</f>
        <v xml:space="preserve">Varmistus- ja palautusprosessit on suunniteltu, toteutettu, testattu ja kuvattu siten, että ne vastaavat lainsäädännön ja toiminnan vaatimuksia.
</v>
      </c>
      <c r="D163" s="38">
        <f>'Hankintaehtojen määrittely'!G163</f>
        <v>0</v>
      </c>
      <c r="E163" s="57">
        <f t="shared" si="2"/>
        <v>0</v>
      </c>
    </row>
    <row r="164" spans="1:5" ht="37.5">
      <c r="A164" s="53" t="str">
        <f>Kriteeristö!U164</f>
        <v>TEK-20.1, L:TL IV, E:, S:, TS:</v>
      </c>
      <c r="B164" s="38" t="str">
        <f>Kriteeristö!L164</f>
        <v>Varmuuskopiointi -TL IV</v>
      </c>
      <c r="C164" s="53" t="str">
        <f>_xlfn.CONCAT('Hankintaehtojen määrittely'!C164,CHAR(10),'Hankintaehtojen määrittely'!D164)</f>
        <v xml:space="preserve">Alikriteeri tarkentaa pääkriteerin vaatimusta.
</v>
      </c>
      <c r="D164" s="38">
        <f>'Hankintaehtojen määrittely'!G164</f>
        <v>0</v>
      </c>
      <c r="E164" s="57">
        <f t="shared" si="2"/>
        <v>0</v>
      </c>
    </row>
    <row r="165" spans="1:5" ht="75">
      <c r="A165" s="53" t="str">
        <f>Kriteeristö!U165</f>
        <v>TEK-20.2, L:TL III, E:, S:, TS:</v>
      </c>
      <c r="B165" s="38" t="str">
        <f>Kriteeristö!L165</f>
        <v>Varmuuskopiointi - varmuuskopioiden rekisteröinti ja käsittelyn seuranta</v>
      </c>
      <c r="C165" s="53" t="str">
        <f>_xlfn.CONCAT('Hankintaehtojen määrittely'!C165,CHAR(10),'Hankintaehtojen määrittely'!D165)</f>
        <v xml:space="preserve">Alikriteeri tarkentaa pääkriteerin vaatimusta.
</v>
      </c>
      <c r="D165" s="38">
        <f>'Hankintaehtojen määrittely'!G165</f>
        <v>0</v>
      </c>
      <c r="E165" s="57">
        <f t="shared" si="2"/>
        <v>0</v>
      </c>
    </row>
    <row r="166" spans="1:5" ht="75">
      <c r="A166" s="53" t="str">
        <f>Kriteeristö!U166</f>
        <v>TEK-21, L:Salassa pidettävä, E:, S:, TS:Erityinen henkilötietoryhmä</v>
      </c>
      <c r="B166" s="38" t="str">
        <f>Kriteeristö!L166</f>
        <v>Sähköisessä muodossa olevien tietojen tuhoaminen</v>
      </c>
      <c r="C166" s="53" t="str">
        <f>_xlfn.CONCAT('Hankintaehtojen määrittely'!C166,CHAR(10),'Hankintaehtojen määrittely'!D166)</f>
        <v xml:space="preserve">Sähköisessä muodossa olevien tietojen tuhoaminen on järjestetty luotettavasti. Salassa pidettävien tietojen tuhoamisessa käytetään menetelmiä, joilla estetään tietojen kokoaminen uudelleen kokonaan tai osittain.
</v>
      </c>
      <c r="D166" s="38">
        <f>'Hankintaehtojen määrittely'!G166</f>
        <v>0</v>
      </c>
      <c r="E166" s="57">
        <f t="shared" si="2"/>
        <v>0</v>
      </c>
    </row>
    <row r="167" spans="1:5" ht="62.45">
      <c r="A167" s="53" t="str">
        <f>Kriteeristö!U167</f>
        <v>TEK-21.1, L:Julkinen, E:Vähäinen, S:Vähäinen, TS:Henkilötieto</v>
      </c>
      <c r="B167" s="38" t="str">
        <f>Kriteeristö!L167</f>
        <v>Sähköisessä muodossa olevien tietojen tuhoaminen - arkistointi</v>
      </c>
      <c r="C167" s="53" t="str">
        <f>_xlfn.CONCAT('Hankintaehtojen määrittely'!C167,CHAR(10),'Hankintaehtojen määrittely'!D167)</f>
        <v xml:space="preserve">Tietojen arkistointivelvollisuus on huomioitu tiedon elinkaaren hallinnassa.
Vaatimusta sovelletaan tilaajan erikseen täsmentävällä tavalla. </v>
      </c>
      <c r="D167" s="38">
        <f>'Hankintaehtojen määrittely'!G167</f>
        <v>0</v>
      </c>
      <c r="E167" s="57">
        <f t="shared" si="2"/>
        <v>0</v>
      </c>
    </row>
    <row r="168" spans="1:5" ht="87.6">
      <c r="A168" s="53" t="str">
        <f>Kriteeristö!U168</f>
        <v>TEK-21.2, L:Salassa pidettävä, E:, S:, TS:Henkilötieto</v>
      </c>
      <c r="B168" s="38" t="str">
        <f>Kriteeristö!L168</f>
        <v>Sähköisessä muodossa olevien tietojen tuhoaminen - pilvipalveluissa olevan tiedon tuhoaminen</v>
      </c>
      <c r="C168" s="53" t="str">
        <f>_xlfn.CONCAT('Hankintaehtojen määrittely'!C168,CHAR(10),'Hankintaehtojen määrittely'!D168)</f>
        <v xml:space="preserve">Alikriteeri tarkentaa pääkriteerin vaatimusta.
Vaatimusta sovelletaan tilaajan erikseen täsmentävällä tavalla. </v>
      </c>
      <c r="D168" s="38">
        <f>'Hankintaehtojen määrittely'!G168</f>
        <v>0</v>
      </c>
      <c r="E168" s="57">
        <f t="shared" si="2"/>
        <v>0</v>
      </c>
    </row>
    <row r="169" spans="1:5" ht="62.45">
      <c r="A169" s="53" t="str">
        <f>Kriteeristö!U169</f>
        <v>TEK-21.3, L:TL IV, E:, S:, TS:</v>
      </c>
      <c r="B169" s="38" t="str">
        <f>Kriteeristö!L169</f>
        <v>Sähköisessä muodossa olevien tietojen tuhoaminen - TL IV</v>
      </c>
      <c r="C169" s="53" t="str">
        <f>_xlfn.CONCAT('Hankintaehtojen määrittely'!C169,CHAR(10),'Hankintaehtojen määrittely'!D169)</f>
        <v xml:space="preserve">Alikriteeri tarkentaa pääkriteerin vaatimusta.
Vaatimusta sovelletaan tilaajan erikseen täsmentävällä tavalla. </v>
      </c>
      <c r="D169" s="38">
        <f>'Hankintaehtojen määrittely'!G169</f>
        <v>0</v>
      </c>
      <c r="E169" s="57">
        <f t="shared" si="2"/>
        <v>0</v>
      </c>
    </row>
    <row r="170" spans="1:5" ht="87.6">
      <c r="A170" s="53" t="str">
        <f>Kriteeristö!U170</f>
        <v>TEK-21.4, L:TL II, E:, S:, TS:</v>
      </c>
      <c r="B170" s="38" t="str">
        <f>Kriteeristö!L170</f>
        <v>Sähköisessä muodossa olevien tietojen tuhoaminen - toisen viranomaisen laatimat tiedot</v>
      </c>
      <c r="C170" s="53" t="str">
        <f>_xlfn.CONCAT('Hankintaehtojen määrittely'!C170,CHAR(10),'Hankintaehtojen määrittely'!D170)</f>
        <v xml:space="preserve">Jos tiedon on laatinut toinen viranomainen, tarpeettomaksi käyneen tiedon tuhoamisesta on ilmoitettava tiedon laatineelle viranomaiselle, jollei sitä palauteta tiedon laatineelle viranomaiselle.
</v>
      </c>
      <c r="D170" s="38">
        <f>'Hankintaehtojen määrittely'!G170</f>
        <v>0</v>
      </c>
      <c r="E170" s="57">
        <f t="shared" si="2"/>
        <v>0</v>
      </c>
    </row>
    <row r="171" spans="1:5" ht="75">
      <c r="A171" s="53" t="str">
        <f>Kriteeristö!U171</f>
        <v>TEK-21.5, L:TL II, E:, S:, TS:</v>
      </c>
      <c r="B171" s="38" t="str">
        <f>Kriteeristö!L171</f>
        <v>Sähköisessä muodossa olevien tietojen tuhoaminen - tuhoamisen suorittaja</v>
      </c>
      <c r="C171" s="53" t="str">
        <f>_xlfn.CONCAT('Hankintaehtojen määrittely'!C171,CHAR(10),'Hankintaehtojen määrittely'!D171)</f>
        <v xml:space="preserve">Tiedon tuhoamisen saa suorittaa vain henkilö, jonka viranomainen on tähän tehtävään määrännyt. Valmisteluvaiheen versiot voi tuhota ne laatinut henkilö.
</v>
      </c>
      <c r="D171" s="38">
        <f>'Hankintaehtojen määrittely'!G171</f>
        <v>0</v>
      </c>
      <c r="E171" s="57">
        <f t="shared" si="2"/>
        <v>0</v>
      </c>
    </row>
    <row r="172" spans="1:5" ht="62.45">
      <c r="A172" s="53" t="str">
        <f>Kriteeristö!U172</f>
        <v>TEK-21.6, L:TL I, E:, S:, TS:</v>
      </c>
      <c r="B172" s="38" t="str">
        <f>Kriteeristö!L172</f>
        <v>Sähköisessä muodossa olevien tietojen tuhoaminen - TL I</v>
      </c>
      <c r="C172" s="53" t="str">
        <f>_xlfn.CONCAT('Hankintaehtojen määrittely'!C172,CHAR(10),'Hankintaehtojen määrittely'!D172)</f>
        <v xml:space="preserve">Alikriteeri tarkentaa pääkriteerin vaatimusta.
</v>
      </c>
      <c r="D172" s="38">
        <f>'Hankintaehtojen määrittely'!G172</f>
        <v>0</v>
      </c>
      <c r="E172" s="57">
        <f t="shared" si="2"/>
        <v>0</v>
      </c>
    </row>
    <row r="173" spans="1:5" ht="50.1">
      <c r="A173" s="53" t="str">
        <f>Kriteeristö!U173</f>
        <v>TEK-22, L:, E:, S:Normaali, TS:</v>
      </c>
      <c r="B173" s="38" t="str">
        <f>Kriteeristö!L173</f>
        <v>Tietojärjestelmien saatavuus</v>
      </c>
      <c r="C173" s="53" t="str">
        <f>_xlfn.CONCAT('Hankintaehtojen määrittely'!C173,CHAR(10),'Hankintaehtojen määrittely'!D173)</f>
        <v xml:space="preserve">Viranomaisen on varmistettava tietojärjestelmien saatavuus koko niiden elinkaaren ajan.
</v>
      </c>
      <c r="D173" s="38">
        <f>'Hankintaehtojen määrittely'!G173</f>
        <v>0</v>
      </c>
      <c r="E173" s="57">
        <f t="shared" si="2"/>
        <v>0</v>
      </c>
    </row>
    <row r="174" spans="1:5" ht="62.45">
      <c r="A174" s="53" t="str">
        <f>Kriteeristö!U174</f>
        <v>TEK-22.1, L:, E:, S:Normaali, TS:</v>
      </c>
      <c r="B174" s="38" t="str">
        <f>Kriteeristö!L174</f>
        <v>Tietojärjestelmien saatavuus - saatavuutta suojaavat menettelyt</v>
      </c>
      <c r="C174" s="53" t="str">
        <f>_xlfn.CONCAT('Hankintaehtojen määrittely'!C174,CHAR(10),'Hankintaehtojen määrittely'!D174)</f>
        <v xml:space="preserve">Saattavuutta suojaavien menettelyiden toteutus on suhteutettu palautusaikatavoitteeseen.
</v>
      </c>
      <c r="D174" s="38">
        <f>'Hankintaehtojen määrittely'!G174</f>
        <v>0</v>
      </c>
      <c r="E174" s="57">
        <f t="shared" si="2"/>
        <v>0</v>
      </c>
    </row>
    <row r="175" spans="1:5" ht="50.1">
      <c r="A175" s="53" t="str">
        <f>Kriteeristö!U175</f>
        <v>TEK-22.2, L:, E:, S:Normaali, TS:</v>
      </c>
      <c r="B175" s="38" t="str">
        <f>Kriteeristö!L175</f>
        <v>Tietojärjestelmien saatavuus - palveluiden valvonta</v>
      </c>
      <c r="C175" s="53" t="str">
        <f>_xlfn.CONCAT('Hankintaehtojen määrittely'!C175,CHAR(10),'Hankintaehtojen määrittely'!D175)</f>
        <v xml:space="preserve">Palveluiden ja tietojärjestelmien saatavuutta seurataan ja valvotaan niiden kriittisyyden edellyttämällä tasolla.
</v>
      </c>
      <c r="D175" s="38">
        <f>'Hankintaehtojen määrittely'!G175</f>
        <v>0</v>
      </c>
      <c r="E175" s="57">
        <f t="shared" si="2"/>
        <v>0</v>
      </c>
    </row>
    <row r="176" spans="1:5" ht="62.45">
      <c r="A176" s="53" t="str">
        <f>Kriteeristö!U176</f>
        <v>TEK-23, L:, E:Tärkeä, S:Tärkeä, TS:</v>
      </c>
      <c r="B176" s="38" t="str">
        <f>Kriteeristö!L176</f>
        <v>Tietojärjestelmien toiminnallinen käytettävyys</v>
      </c>
      <c r="C176" s="53" t="str">
        <f>_xlfn.CONCAT('Hankintaehtojen määrittely'!C176,CHAR(10),'Hankintaehtojen määrittely'!D176)</f>
        <v xml:space="preserve">Viranomainen on varmistanut tehtävien hoitamisen kannalta olennaisten tietojärjestelmien vikasietoisuuden ja toiminnallisen käytettävyyden. 
</v>
      </c>
      <c r="D176" s="38">
        <f>'Hankintaehtojen määrittely'!G176</f>
        <v>0</v>
      </c>
      <c r="E176" s="57">
        <f t="shared" si="2"/>
        <v>0</v>
      </c>
    </row>
    <row r="177" spans="1:5" ht="75">
      <c r="A177" s="53" t="str">
        <f>Kriteeristö!U177</f>
        <v>VAR-01, L:Julkinen, E:Vähäinen, S:Vähäinen, TS:Henkilötieto</v>
      </c>
      <c r="B177" s="38" t="str">
        <f>Kriteeristö!L177</f>
        <v>Varautumista ohjaava lainsäädäntö</v>
      </c>
      <c r="C177" s="53" t="str">
        <f>_xlfn.CONCAT('Hankintaehtojen määrittely'!C177,CHAR(10),'Hankintaehtojen määrittely'!D177)</f>
        <v>Organisaatio on tunnistanut toimintaansa ja palveluihinsa liittyvät ICT-varautumista ohjaavan kansallisen ja EU-lainsäädännön sekä muut ICT-varautumiseen liittyvät normit.
Toimittaja tukee tilaajaa sekä toteuttaa vaatimuksen tilaajan täsmentämällä tavalla.</v>
      </c>
      <c r="D177" s="38">
        <f>'Hankintaehtojen määrittely'!G177</f>
        <v>0</v>
      </c>
      <c r="E177" s="57">
        <f t="shared" si="2"/>
        <v>0</v>
      </c>
    </row>
    <row r="178" spans="1:5" ht="75">
      <c r="A178" s="53" t="str">
        <f>Kriteeristö!U178</f>
        <v>VAR-02, L:Julkinen, E:Vähäinen, S:Vähäinen, TS:Henkilötieto</v>
      </c>
      <c r="B178" s="38" t="str">
        <f>Kriteeristö!L178</f>
        <v>Jatkuvuusvaatimusten määrittely</v>
      </c>
      <c r="C178" s="53" t="str">
        <f>_xlfn.CONCAT('Hankintaehtojen määrittely'!C178,CHAR(10),'Hankintaehtojen määrittely'!D178)</f>
        <v xml:space="preserve">Toiminnan ja siihen liittyvien olennaisten palvelujen ja tietojärjestelmien jatkuvuusvaatimukset on määritelty.
Toimittaja toteuttaa ja toimittaa tilaajan hyväksyttäväksi tilaajalle tuotettavien palvelujen jatkuvuuden toimenpiteet tilaajan esittämien vaatimusten perusteella.  </v>
      </c>
      <c r="D178" s="38">
        <f>'Hankintaehtojen määrittely'!G178</f>
        <v>0</v>
      </c>
      <c r="E178" s="57">
        <f t="shared" si="2"/>
        <v>0</v>
      </c>
    </row>
    <row r="179" spans="1:5" ht="75">
      <c r="A179" s="53" t="str">
        <f>Kriteeristö!U179</f>
        <v>VAR-02.1, L:Julkinen, E:Vähäinen, S:Vähäinen, TS:Henkilötieto</v>
      </c>
      <c r="B179" s="38" t="str">
        <f>Kriteeristö!L179</f>
        <v>Jatkuvuusvaatimusten määrittely - palveluiden siirrot</v>
      </c>
      <c r="C179" s="53" t="str">
        <f>_xlfn.CONCAT('Hankintaehtojen määrittely'!C179,CHAR(10),'Hankintaehtojen määrittely'!D179)</f>
        <v xml:space="preserve">Jatkuvuusvaatimuksissa on huomioitu palveluiden kotiuttamiset ja siirrot toiselle palveluntarjoajalle.
Toimittaja totettaa palvelun siten, että se on siirrettävissä toiselle toimittajalle tai tilaajalle ja että tilaajan täsmennykset koskien palveluiden siirrettävyyttä täyttyvät. </v>
      </c>
      <c r="D179" s="38">
        <f>'Hankintaehtojen määrittely'!G179</f>
        <v>0</v>
      </c>
      <c r="E179" s="57">
        <f t="shared" si="2"/>
        <v>0</v>
      </c>
    </row>
    <row r="180" spans="1:5" ht="125.1">
      <c r="A180" s="53" t="str">
        <f>Kriteeristö!U180</f>
        <v>VAR-03, L:, E:, S:Tärkeä, TS:</v>
      </c>
      <c r="B180" s="38" t="str">
        <f>Kriteeristö!L180</f>
        <v>Jatkuvuussuunnitelmat</v>
      </c>
      <c r="C180" s="53" t="str">
        <f>_xlfn.CONCAT('Hankintaehtojen määrittely'!C180,CHAR(10),'Hankintaehtojen määrittely'!D180)</f>
        <v xml:space="preserve">Jatkuvuussuunnitelmat on laadittu ja otettu käyttöön. 
Toimittaja laatii ja ylläpitää palveluidensa osalta jatkuvuussuunnitelmia. Jatkuvuussuunnitelmat ovat toimittajan ja tilaajan suojattavien tietojen kannalta kattavat ja tarkoituksenmukaiset. 
Jatkuvuudenhallinnan prosessit ja menettelyt on suunniteltu ja kuvattu siten, että toimittaja pystyy vastaamaan tilaajan vaatimuksiin ja lainsäädännön velvoitteisiin. </v>
      </c>
      <c r="D180" s="38">
        <f>'Hankintaehtojen määrittely'!G180</f>
        <v>0</v>
      </c>
      <c r="E180" s="57">
        <f t="shared" si="2"/>
        <v>0</v>
      </c>
    </row>
    <row r="181" spans="1:5" ht="75">
      <c r="A181" s="53" t="str">
        <f>Kriteeristö!U181</f>
        <v>VAR-03.1, L:, E:, S:Tärkeä, TS:</v>
      </c>
      <c r="B181" s="38" t="str">
        <f>Kriteeristö!L181</f>
        <v>Jatkuvuussuunnitelmien testaus ja harjoittelu</v>
      </c>
      <c r="C181" s="53" t="str">
        <f>_xlfn.CONCAT('Hankintaehtojen määrittely'!C181,CHAR(10),'Hankintaehtojen määrittely'!D181)</f>
        <v>Jatkuvuussuunnitelmia testataan ja harjoitellaan säännöllisesti.
Toimittaja täyttää jatkuvuussuunnitelmien testauksessa ja harjoittelussa tilaajan asettamat vaatimukset sekä sitoutuu osallistumaan tilaajan järjestämiin jatkuvuudenhallintaa koskeviin harjoituksiin.</v>
      </c>
      <c r="D181" s="38">
        <f>'Hankintaehtojen määrittely'!G181</f>
        <v>0</v>
      </c>
      <c r="E181" s="57">
        <f t="shared" si="2"/>
        <v>0</v>
      </c>
    </row>
    <row r="182" spans="1:5" ht="99.95">
      <c r="A182" s="53" t="str">
        <f>Kriteeristö!U182</f>
        <v>VAR-04, L:, E:, S:Tärkeä, TS:</v>
      </c>
      <c r="B182" s="38" t="str">
        <f>Kriteeristö!L182</f>
        <v>Resurssit ja osaaminen</v>
      </c>
      <c r="C182" s="53" t="str">
        <f>_xlfn.CONCAT('Hankintaehtojen määrittely'!C182,CHAR(10),'Hankintaehtojen määrittely'!D182)</f>
        <v>Henkilöt tuntevat omaan toimintaan liittyvät jatkuvuus- ja toipumissuunnitelmat sekä osaavat toimia niiden mukaisesti.
Varahenkilöt on nimetty ja heidän kykynsä hoitaa tehtävät normaalitilanteissa on varmistettu. 
Toimittaja toimittaa pyynnöstä tilaajalle kirjallisen kuvauksen, joka osoittaa vaatimuksen täyttymisen.</v>
      </c>
      <c r="D182" s="38">
        <f>'Hankintaehtojen määrittely'!G182</f>
        <v>0</v>
      </c>
      <c r="E182" s="57">
        <f t="shared" si="2"/>
        <v>0</v>
      </c>
    </row>
    <row r="183" spans="1:5" ht="75">
      <c r="A183" s="53" t="str">
        <f>Kriteeristö!U183</f>
        <v>VAR-05, L:, E:, S:Tärkeä, TS:</v>
      </c>
      <c r="B183" s="38" t="str">
        <f>Kriteeristö!L183</f>
        <v>Henkilöstön saatavuus ja varajärjestelyt</v>
      </c>
      <c r="C183" s="53" t="str">
        <f>_xlfn.CONCAT('Hankintaehtojen määrittely'!C183,CHAR(10),'Hankintaehtojen määrittely'!D183)</f>
        <v>Kriittisten tehtävien suorittamiseksi on suunniteltu ja valmisteltu erityistilanteiden vaihtoehtoiset toimintatavat ja henkilöstön saatavuus ja varajärjestelyt.
Toimittaja toimittaa pyynnöstä tilaajalle kirjallisen kuvauksen, joka osoittaa vaatimuksen täyttymisen.</v>
      </c>
      <c r="D183" s="38">
        <f>'Hankintaehtojen määrittely'!G183</f>
        <v>0</v>
      </c>
      <c r="E183" s="57">
        <f t="shared" si="2"/>
        <v>0</v>
      </c>
    </row>
    <row r="184" spans="1:5" ht="87.6">
      <c r="A184" s="53" t="str">
        <f>Kriteeristö!U184</f>
        <v>VAR-06, L:, E:, S:Tärkeä, TS:</v>
      </c>
      <c r="B184" s="38" t="str">
        <f>Kriteeristö!L184</f>
        <v>Tietoliikenteen varmistaminen</v>
      </c>
      <c r="C184" s="53" t="str">
        <f>_xlfn.CONCAT('Hankintaehtojen määrittely'!C184,CHAR(10),'Hankintaehtojen määrittely'!D184)</f>
        <v>Tietoliikennepalveluissa ja -sopimuksissa on huomioitu toiminnan kannalta tärkeiden palveluiden saatavuus häiriötilanteissa.
Toimittaja toimittaa pyynnöstä tilaajalle kirjallisen kuvauksen, joka osoittaa vaatimuksen täyttymisen suhteessa tilaajan määrittelemien tärkeiden palveluiden saatavuusvaatimuksiin.</v>
      </c>
      <c r="D184" s="38">
        <f>'Hankintaehtojen määrittely'!G184</f>
        <v>0</v>
      </c>
      <c r="E184" s="57">
        <f t="shared" si="2"/>
        <v>0</v>
      </c>
    </row>
    <row r="185" spans="1:5" ht="87.6">
      <c r="A185" s="53" t="str">
        <f>Kriteeristö!U185</f>
        <v>VAR-07, L:, E:, S:Tärkeä, TS:</v>
      </c>
      <c r="B185" s="38" t="str">
        <f>Kriteeristö!L185</f>
        <v>Tietoteknisten ympäristöjen varmentaminen</v>
      </c>
      <c r="C185" s="53" t="str">
        <f>_xlfn.CONCAT('Hankintaehtojen määrittely'!C185,CHAR(10),'Hankintaehtojen määrittely'!D185)</f>
        <v>Tietoteknisissä ympäristöissä ja niihin liittyvissä sopimuksissa on huomioitu toiminnan kannalta tärkeiden palveluiden saatavuus häiriötilanteissa.
Toimittaja toimittaa pyynnöstä tilaajalle kirjallisen kuvauksen, joka osoittaa vaatimuksen täyttymisen suhteessa tilaajan tärkeiksi määrittelemien palveluiden saatavuusvaatimuksiin.</v>
      </c>
      <c r="D185" s="38">
        <f>'Hankintaehtojen määrittely'!G185</f>
        <v>0</v>
      </c>
      <c r="E185" s="57">
        <f t="shared" si="2"/>
        <v>0</v>
      </c>
    </row>
    <row r="186" spans="1:5" ht="99.95">
      <c r="A186" s="53" t="str">
        <f>Kriteeristö!U186</f>
        <v>VAR-08, L:, E:, S:Kriittinen, TS:</v>
      </c>
      <c r="B186" s="38" t="str">
        <f>Kriteeristö!L186</f>
        <v>Vikasietoisuus</v>
      </c>
      <c r="C186" s="53" t="str">
        <f>_xlfn.CONCAT('Hankintaehtojen määrittely'!C186,CHAR(10),'Hankintaehtojen määrittely'!D186)</f>
        <v>ICT-infrastruktuuri sekä olennaiset tietojärjestelmät on toteutettu riittävän vikasietoisiksi ja käyttövarmoiksi riskiarvioinnin perusteella.
Toimittaja varmentaa tilaajan kanssa sovitulla tavalla ja tilaajan vaatimusten mukaisesti hankinnan kohteeseen liittyvien palvelujen verkko-, palvelin- ja laiteympäristöt kahdentamalla tai muulla sovitulla tavalla.</v>
      </c>
      <c r="D186" s="38">
        <f>'Hankintaehtojen määrittely'!G186</f>
        <v>0</v>
      </c>
      <c r="E186" s="57">
        <f t="shared" si="2"/>
        <v>0</v>
      </c>
    </row>
    <row r="187" spans="1:5" ht="75">
      <c r="A187" s="53" t="str">
        <f>Kriteeristö!U187</f>
        <v>VAR-08.1, L:, E:, S:Kriittinen, TS:</v>
      </c>
      <c r="B187" s="38" t="str">
        <f>Kriteeristö!L187</f>
        <v>Vikasietoisuus - riippuvuudet</v>
      </c>
      <c r="C187" s="53" t="str">
        <f>_xlfn.CONCAT('Hankintaehtojen määrittely'!C187,CHAR(10),'Hankintaehtojen määrittely'!D187)</f>
        <v>Palvelujen riippuvuus muista palveluista ja toisista toimijoista on otettu huomioon koko tietojenkäsittely-ympäristön ja sen vikasietoisuuden suunnittelussa.
Toimittaja toimittaa pyynnöstä tilaajalle kirjallisen kuvauksen, joka osoittaa vaatimuksen täyttymisen.</v>
      </c>
      <c r="D187" s="38">
        <f>'Hankintaehtojen määrittely'!G187</f>
        <v>0</v>
      </c>
      <c r="E187" s="57">
        <f t="shared" si="2"/>
        <v>0</v>
      </c>
    </row>
    <row r="188" spans="1:5" ht="75">
      <c r="A188" s="53" t="str">
        <f>Kriteeristö!U188</f>
        <v>VAR-09, L:, E:, S:Tärkeä, TS:</v>
      </c>
      <c r="B188" s="38" t="str">
        <f>Kriteeristö!L188</f>
        <v>Tietojärjestelmien toipumissuunnitelmat</v>
      </c>
      <c r="C188" s="53" t="str">
        <f>_xlfn.CONCAT('Hankintaehtojen määrittely'!C188,CHAR(10),'Hankintaehtojen määrittely'!D188)</f>
        <v xml:space="preserve">Tietojärjestelmien toipumissuunnitelmien tulee olla laadittu, otettu käyttöön ja yhteensovitettu keskenään.
Toimittaja on varmistanut toipumissuunnitelmat, toipumisen ja jatkuvuuden varmistamisen tilaajan vaatimuksiin nähden riittävällä tavalla. </v>
      </c>
      <c r="D188" s="38">
        <f>'Hankintaehtojen määrittely'!G188</f>
        <v>0</v>
      </c>
      <c r="E188" s="57">
        <f t="shared" si="2"/>
        <v>0</v>
      </c>
    </row>
    <row r="189" spans="1:5" ht="24.95">
      <c r="A189" s="53" t="str">
        <f>Kriteeristö!U189</f>
        <v>, L:, E:, S:, TS:</v>
      </c>
      <c r="B189" s="38">
        <f>Kriteeristö!L189</f>
        <v>0</v>
      </c>
      <c r="C189" s="53" t="str">
        <f>_xlfn.CONCAT('Hankintaehtojen määrittely'!C189,CHAR(10),'Hankintaehtojen määrittely'!D189)</f>
        <v xml:space="preserve">0
</v>
      </c>
      <c r="D189" s="38">
        <f>'Hankintaehtojen määrittely'!G189</f>
        <v>0</v>
      </c>
      <c r="E189" s="57">
        <f t="shared" si="2"/>
        <v>0</v>
      </c>
    </row>
    <row r="190" spans="1:5" ht="24.95">
      <c r="A190" s="53" t="str">
        <f>Kriteeristö!U190</f>
        <v>, L:, E:, S:, TS:</v>
      </c>
      <c r="B190" s="38">
        <f>Kriteeristö!L190</f>
        <v>0</v>
      </c>
      <c r="C190" s="53" t="str">
        <f>_xlfn.CONCAT('Hankintaehtojen määrittely'!C190,CHAR(10),'Hankintaehtojen määrittely'!D190)</f>
        <v xml:space="preserve">0
</v>
      </c>
      <c r="D190" s="38">
        <f>'Hankintaehtojen määrittely'!G190</f>
        <v>0</v>
      </c>
      <c r="E190" s="57">
        <f t="shared" si="2"/>
        <v>0</v>
      </c>
    </row>
    <row r="191" spans="1:5" ht="24.95">
      <c r="A191" s="53" t="str">
        <f>Kriteeristö!U191</f>
        <v>, L:, E:, S:, TS:</v>
      </c>
      <c r="B191" s="38">
        <f>Kriteeristö!L191</f>
        <v>0</v>
      </c>
      <c r="C191" s="53" t="str">
        <f>_xlfn.CONCAT('Hankintaehtojen määrittely'!C191,CHAR(10),'Hankintaehtojen määrittely'!D191)</f>
        <v xml:space="preserve">0
</v>
      </c>
      <c r="D191" s="38">
        <f>'Hankintaehtojen määrittely'!G191</f>
        <v>0</v>
      </c>
      <c r="E191" s="57">
        <f t="shared" si="2"/>
        <v>0</v>
      </c>
    </row>
    <row r="192" spans="1:5" ht="24.95">
      <c r="A192" s="53" t="str">
        <f>Kriteeristö!U192</f>
        <v>, L:, E:, S:, TS:</v>
      </c>
      <c r="B192" s="38">
        <f>Kriteeristö!L192</f>
        <v>0</v>
      </c>
      <c r="C192" s="53" t="str">
        <f>_xlfn.CONCAT('Hankintaehtojen määrittely'!C192,CHAR(10),'Hankintaehtojen määrittely'!D192)</f>
        <v xml:space="preserve">0
</v>
      </c>
      <c r="D192" s="38">
        <f>'Hankintaehtojen määrittely'!G192</f>
        <v>0</v>
      </c>
      <c r="E192" s="57">
        <f t="shared" si="2"/>
        <v>0</v>
      </c>
    </row>
    <row r="193" spans="1:5" ht="24.95">
      <c r="A193" s="53" t="str">
        <f>Kriteeristö!U193</f>
        <v>, L:, E:, S:, TS:</v>
      </c>
      <c r="B193" s="38">
        <f>Kriteeristö!L193</f>
        <v>0</v>
      </c>
      <c r="C193" s="53" t="str">
        <f>_xlfn.CONCAT('Hankintaehtojen määrittely'!C193,CHAR(10),'Hankintaehtojen määrittely'!D193)</f>
        <v xml:space="preserve">0
</v>
      </c>
      <c r="D193" s="38">
        <f>'Hankintaehtojen määrittely'!G193</f>
        <v>0</v>
      </c>
      <c r="E193" s="57">
        <f t="shared" si="2"/>
        <v>0</v>
      </c>
    </row>
    <row r="194" spans="1:5" ht="24.95">
      <c r="A194" s="53" t="str">
        <f>Kriteeristö!U194</f>
        <v>, L:, E:, S:, TS:</v>
      </c>
      <c r="B194" s="38">
        <f>Kriteeristö!L194</f>
        <v>0</v>
      </c>
      <c r="C194" s="53" t="str">
        <f>_xlfn.CONCAT('Hankintaehtojen määrittely'!C194,CHAR(10),'Hankintaehtojen määrittely'!D194)</f>
        <v xml:space="preserve">0
</v>
      </c>
      <c r="D194" s="38">
        <f>'Hankintaehtojen määrittely'!G194</f>
        <v>0</v>
      </c>
      <c r="E194" s="57">
        <f t="shared" si="2"/>
        <v>0</v>
      </c>
    </row>
    <row r="195" spans="1:5" ht="24.95">
      <c r="A195" s="53" t="str">
        <f>Kriteeristö!U195</f>
        <v>, L:, E:, S:, TS:</v>
      </c>
      <c r="B195" s="38">
        <f>Kriteeristö!L195</f>
        <v>0</v>
      </c>
      <c r="C195" s="53" t="str">
        <f>_xlfn.CONCAT('Hankintaehtojen määrittely'!C195,CHAR(10),'Hankintaehtojen määrittely'!D195)</f>
        <v xml:space="preserve">0
</v>
      </c>
      <c r="D195" s="38">
        <f>'Hankintaehtojen määrittely'!G195</f>
        <v>0</v>
      </c>
      <c r="E195" s="57">
        <f t="shared" si="2"/>
        <v>0</v>
      </c>
    </row>
    <row r="196" spans="1:5" ht="24.95">
      <c r="A196" s="53" t="str">
        <f>Kriteeristö!U196</f>
        <v>, L:, E:, S:, TS:</v>
      </c>
      <c r="B196" s="38">
        <f>Kriteeristö!L196</f>
        <v>0</v>
      </c>
      <c r="C196" s="53" t="str">
        <f>_xlfn.CONCAT('Hankintaehtojen määrittely'!C196,CHAR(10),'Hankintaehtojen määrittely'!D196)</f>
        <v xml:space="preserve">0
</v>
      </c>
      <c r="D196" s="38">
        <f>'Hankintaehtojen määrittely'!G196</f>
        <v>0</v>
      </c>
      <c r="E196" s="57">
        <f t="shared" ref="E196:E223" si="3">IF(D196="Sisältyy",1,0)</f>
        <v>0</v>
      </c>
    </row>
    <row r="197" spans="1:5" ht="24.95">
      <c r="A197" s="53" t="str">
        <f>Kriteeristö!U197</f>
        <v>, L:, E:, S:, TS:</v>
      </c>
      <c r="B197" s="38">
        <f>Kriteeristö!L197</f>
        <v>0</v>
      </c>
      <c r="C197" s="53" t="str">
        <f>_xlfn.CONCAT('Hankintaehtojen määrittely'!C197,CHAR(10),'Hankintaehtojen määrittely'!D197)</f>
        <v xml:space="preserve">0
</v>
      </c>
      <c r="D197" s="38">
        <f>'Hankintaehtojen määrittely'!G197</f>
        <v>0</v>
      </c>
      <c r="E197" s="57">
        <f t="shared" si="3"/>
        <v>0</v>
      </c>
    </row>
    <row r="198" spans="1:5" ht="24.95">
      <c r="A198" s="53" t="str">
        <f>Kriteeristö!U198</f>
        <v>, L:, E:, S:, TS:</v>
      </c>
      <c r="B198" s="38">
        <f>Kriteeristö!L198</f>
        <v>0</v>
      </c>
      <c r="C198" s="53" t="str">
        <f>_xlfn.CONCAT('Hankintaehtojen määrittely'!C198,CHAR(10),'Hankintaehtojen määrittely'!D198)</f>
        <v xml:space="preserve">0
</v>
      </c>
      <c r="D198" s="38">
        <f>'Hankintaehtojen määrittely'!G198</f>
        <v>0</v>
      </c>
      <c r="E198" s="57">
        <f t="shared" si="3"/>
        <v>0</v>
      </c>
    </row>
    <row r="199" spans="1:5" ht="24.95">
      <c r="A199" s="53" t="str">
        <f>Kriteeristö!U199</f>
        <v>, L:, E:, S:, TS:</v>
      </c>
      <c r="B199" s="38">
        <f>Kriteeristö!L199</f>
        <v>0</v>
      </c>
      <c r="C199" s="53" t="str">
        <f>_xlfn.CONCAT('Hankintaehtojen määrittely'!C199,CHAR(10),'Hankintaehtojen määrittely'!D199)</f>
        <v xml:space="preserve">0
</v>
      </c>
      <c r="D199" s="38">
        <f>'Hankintaehtojen määrittely'!G199</f>
        <v>0</v>
      </c>
      <c r="E199" s="57">
        <f t="shared" si="3"/>
        <v>0</v>
      </c>
    </row>
    <row r="200" spans="1:5" ht="24.95">
      <c r="A200" s="53" t="str">
        <f>Kriteeristö!U200</f>
        <v>, L:, E:, S:, TS:</v>
      </c>
      <c r="B200" s="38">
        <f>Kriteeristö!L200</f>
        <v>0</v>
      </c>
      <c r="C200" s="53" t="str">
        <f>_xlfn.CONCAT('Hankintaehtojen määrittely'!C200,CHAR(10),'Hankintaehtojen määrittely'!D200)</f>
        <v xml:space="preserve">0
</v>
      </c>
      <c r="D200" s="38">
        <f>'Hankintaehtojen määrittely'!G200</f>
        <v>0</v>
      </c>
      <c r="E200" s="57">
        <f t="shared" si="3"/>
        <v>0</v>
      </c>
    </row>
    <row r="201" spans="1:5" ht="24.95">
      <c r="A201" s="53" t="str">
        <f>Kriteeristö!U201</f>
        <v>, L:, E:, S:, TS:</v>
      </c>
      <c r="B201" s="38">
        <f>Kriteeristö!L201</f>
        <v>0</v>
      </c>
      <c r="C201" s="53" t="str">
        <f>_xlfn.CONCAT('Hankintaehtojen määrittely'!C201,CHAR(10),'Hankintaehtojen määrittely'!D201)</f>
        <v xml:space="preserve">0
</v>
      </c>
      <c r="D201" s="38">
        <f>'Hankintaehtojen määrittely'!G201</f>
        <v>0</v>
      </c>
      <c r="E201" s="57">
        <f t="shared" si="3"/>
        <v>0</v>
      </c>
    </row>
    <row r="202" spans="1:5" ht="24.95">
      <c r="A202" s="53" t="str">
        <f>Kriteeristö!U202</f>
        <v>, L:, E:, S:, TS:</v>
      </c>
      <c r="B202" s="38">
        <f>Kriteeristö!L202</f>
        <v>0</v>
      </c>
      <c r="C202" s="53" t="str">
        <f>_xlfn.CONCAT('Hankintaehtojen määrittely'!C202,CHAR(10),'Hankintaehtojen määrittely'!D202)</f>
        <v xml:space="preserve">0
</v>
      </c>
      <c r="D202" s="38">
        <f>'Hankintaehtojen määrittely'!G202</f>
        <v>0</v>
      </c>
      <c r="E202" s="57">
        <f t="shared" si="3"/>
        <v>0</v>
      </c>
    </row>
    <row r="203" spans="1:5" ht="24.95">
      <c r="A203" s="53" t="str">
        <f>Kriteeristö!U203</f>
        <v>, L:, E:, S:, TS:</v>
      </c>
      <c r="B203" s="38">
        <f>Kriteeristö!L203</f>
        <v>0</v>
      </c>
      <c r="C203" s="53" t="str">
        <f>_xlfn.CONCAT('Hankintaehtojen määrittely'!C203,CHAR(10),'Hankintaehtojen määrittely'!D203)</f>
        <v xml:space="preserve">0
</v>
      </c>
      <c r="D203" s="38">
        <f>'Hankintaehtojen määrittely'!G203</f>
        <v>0</v>
      </c>
      <c r="E203" s="57">
        <f t="shared" si="3"/>
        <v>0</v>
      </c>
    </row>
    <row r="204" spans="1:5" ht="24.95">
      <c r="A204" s="53" t="str">
        <f>Kriteeristö!U204</f>
        <v>, L:, E:, S:, TS:</v>
      </c>
      <c r="B204" s="38">
        <f>Kriteeristö!L204</f>
        <v>0</v>
      </c>
      <c r="C204" s="53" t="str">
        <f>_xlfn.CONCAT('Hankintaehtojen määrittely'!C204,CHAR(10),'Hankintaehtojen määrittely'!D204)</f>
        <v xml:space="preserve">0
</v>
      </c>
      <c r="D204" s="38">
        <f>'Hankintaehtojen määrittely'!G204</f>
        <v>0</v>
      </c>
      <c r="E204" s="57">
        <f t="shared" si="3"/>
        <v>0</v>
      </c>
    </row>
    <row r="205" spans="1:5" ht="24.95">
      <c r="A205" s="53" t="str">
        <f>Kriteeristö!U205</f>
        <v>, L:, E:, S:, TS:</v>
      </c>
      <c r="B205" s="38">
        <f>Kriteeristö!L205</f>
        <v>0</v>
      </c>
      <c r="C205" s="53" t="str">
        <f>_xlfn.CONCAT('Hankintaehtojen määrittely'!C205,CHAR(10),'Hankintaehtojen määrittely'!D205)</f>
        <v xml:space="preserve">0
</v>
      </c>
      <c r="D205" s="38">
        <f>'Hankintaehtojen määrittely'!G205</f>
        <v>0</v>
      </c>
      <c r="E205" s="57">
        <f t="shared" si="3"/>
        <v>0</v>
      </c>
    </row>
    <row r="206" spans="1:5" ht="24.95">
      <c r="A206" s="53" t="str">
        <f>Kriteeristö!U206</f>
        <v>, L:, E:, S:, TS:</v>
      </c>
      <c r="B206" s="38">
        <f>Kriteeristö!L206</f>
        <v>0</v>
      </c>
      <c r="C206" s="53" t="str">
        <f>_xlfn.CONCAT('Hankintaehtojen määrittely'!C206,CHAR(10),'Hankintaehtojen määrittely'!D206)</f>
        <v xml:space="preserve">0
</v>
      </c>
      <c r="D206" s="38">
        <f>'Hankintaehtojen määrittely'!G206</f>
        <v>0</v>
      </c>
      <c r="E206" s="57">
        <f t="shared" si="3"/>
        <v>0</v>
      </c>
    </row>
    <row r="207" spans="1:5" ht="24.95">
      <c r="A207" s="53" t="str">
        <f>Kriteeristö!U207</f>
        <v>, L:, E:, S:, TS:</v>
      </c>
      <c r="B207" s="38">
        <f>Kriteeristö!L207</f>
        <v>0</v>
      </c>
      <c r="C207" s="53" t="str">
        <f>_xlfn.CONCAT('Hankintaehtojen määrittely'!C207,CHAR(10),'Hankintaehtojen määrittely'!D207)</f>
        <v xml:space="preserve">0
</v>
      </c>
      <c r="D207" s="38">
        <f>'Hankintaehtojen määrittely'!G207</f>
        <v>0</v>
      </c>
      <c r="E207" s="57">
        <f t="shared" si="3"/>
        <v>0</v>
      </c>
    </row>
    <row r="208" spans="1:5" ht="24.95">
      <c r="A208" s="53" t="str">
        <f>Kriteeristö!U208</f>
        <v>, L:, E:, S:, TS:</v>
      </c>
      <c r="B208" s="38">
        <f>Kriteeristö!L208</f>
        <v>0</v>
      </c>
      <c r="C208" s="53" t="str">
        <f>_xlfn.CONCAT('Hankintaehtojen määrittely'!C208,CHAR(10),'Hankintaehtojen määrittely'!D208)</f>
        <v xml:space="preserve">0
</v>
      </c>
      <c r="D208" s="38">
        <f>'Hankintaehtojen määrittely'!G208</f>
        <v>0</v>
      </c>
      <c r="E208" s="57">
        <f t="shared" si="3"/>
        <v>0</v>
      </c>
    </row>
    <row r="209" spans="1:5" ht="24.95">
      <c r="A209" s="53" t="str">
        <f>Kriteeristö!U209</f>
        <v>, L:, E:, S:, TS:</v>
      </c>
      <c r="B209" s="38">
        <f>Kriteeristö!L209</f>
        <v>0</v>
      </c>
      <c r="C209" s="53" t="str">
        <f>_xlfn.CONCAT('Hankintaehtojen määrittely'!C209,CHAR(10),'Hankintaehtojen määrittely'!D209)</f>
        <v xml:space="preserve">0
</v>
      </c>
      <c r="D209" s="38">
        <f>'Hankintaehtojen määrittely'!G209</f>
        <v>0</v>
      </c>
      <c r="E209" s="57">
        <f t="shared" si="3"/>
        <v>0</v>
      </c>
    </row>
    <row r="210" spans="1:5" ht="24.95">
      <c r="A210" s="53" t="str">
        <f>Kriteeristö!U210</f>
        <v>, L:, E:, S:, TS:</v>
      </c>
      <c r="B210" s="38">
        <f>Kriteeristö!L210</f>
        <v>0</v>
      </c>
      <c r="C210" s="53" t="str">
        <f>_xlfn.CONCAT('Hankintaehtojen määrittely'!C210,CHAR(10),'Hankintaehtojen määrittely'!D210)</f>
        <v xml:space="preserve">0
</v>
      </c>
      <c r="D210" s="38">
        <f>'Hankintaehtojen määrittely'!G210</f>
        <v>0</v>
      </c>
      <c r="E210" s="57">
        <f t="shared" si="3"/>
        <v>0</v>
      </c>
    </row>
    <row r="211" spans="1:5" ht="24.95">
      <c r="A211" s="53" t="str">
        <f>Kriteeristö!U211</f>
        <v>, L:, E:, S:, TS:</v>
      </c>
      <c r="B211" s="38">
        <f>Kriteeristö!L211</f>
        <v>0</v>
      </c>
      <c r="C211" s="53" t="str">
        <f>_xlfn.CONCAT('Hankintaehtojen määrittely'!C211,CHAR(10),'Hankintaehtojen määrittely'!D211)</f>
        <v xml:space="preserve">0
</v>
      </c>
      <c r="D211" s="38">
        <f>'Hankintaehtojen määrittely'!G211</f>
        <v>0</v>
      </c>
      <c r="E211" s="57">
        <f t="shared" si="3"/>
        <v>0</v>
      </c>
    </row>
    <row r="212" spans="1:5" ht="24.95">
      <c r="A212" s="53" t="str">
        <f>Kriteeristö!U212</f>
        <v>, L:, E:, S:, TS:</v>
      </c>
      <c r="B212" s="38">
        <f>Kriteeristö!L212</f>
        <v>0</v>
      </c>
      <c r="C212" s="53" t="str">
        <f>_xlfn.CONCAT('Hankintaehtojen määrittely'!C212,CHAR(10),'Hankintaehtojen määrittely'!D212)</f>
        <v xml:space="preserve">0
</v>
      </c>
      <c r="D212" s="38">
        <f>'Hankintaehtojen määrittely'!G212</f>
        <v>0</v>
      </c>
      <c r="E212" s="57">
        <f t="shared" si="3"/>
        <v>0</v>
      </c>
    </row>
    <row r="213" spans="1:5" ht="24.95">
      <c r="A213" s="53" t="str">
        <f>Kriteeristö!U213</f>
        <v>, L:, E:, S:, TS:</v>
      </c>
      <c r="B213" s="38">
        <f>Kriteeristö!L213</f>
        <v>0</v>
      </c>
      <c r="C213" s="53" t="str">
        <f>_xlfn.CONCAT('Hankintaehtojen määrittely'!C213,CHAR(10),'Hankintaehtojen määrittely'!D213)</f>
        <v xml:space="preserve">0
</v>
      </c>
      <c r="D213" s="38">
        <f>'Hankintaehtojen määrittely'!G213</f>
        <v>0</v>
      </c>
      <c r="E213" s="57">
        <f t="shared" si="3"/>
        <v>0</v>
      </c>
    </row>
    <row r="214" spans="1:5" ht="24.95">
      <c r="A214" s="53" t="str">
        <f>Kriteeristö!U214</f>
        <v>, L:, E:, S:, TS:</v>
      </c>
      <c r="B214" s="38">
        <f>Kriteeristö!L214</f>
        <v>0</v>
      </c>
      <c r="C214" s="53" t="str">
        <f>_xlfn.CONCAT('Hankintaehtojen määrittely'!C214,CHAR(10),'Hankintaehtojen määrittely'!D214)</f>
        <v xml:space="preserve">0
</v>
      </c>
      <c r="D214" s="38">
        <f>'Hankintaehtojen määrittely'!G214</f>
        <v>0</v>
      </c>
      <c r="E214" s="57">
        <f t="shared" si="3"/>
        <v>0</v>
      </c>
    </row>
    <row r="215" spans="1:5" ht="24.95">
      <c r="A215" s="53" t="str">
        <f>Kriteeristö!U215</f>
        <v>, L:, E:, S:, TS:</v>
      </c>
      <c r="B215" s="38">
        <f>Kriteeristö!L215</f>
        <v>0</v>
      </c>
      <c r="C215" s="53" t="str">
        <f>_xlfn.CONCAT('Hankintaehtojen määrittely'!C215,CHAR(10),'Hankintaehtojen määrittely'!D215)</f>
        <v xml:space="preserve">0
</v>
      </c>
      <c r="D215" s="38">
        <f>'Hankintaehtojen määrittely'!G215</f>
        <v>0</v>
      </c>
      <c r="E215" s="57">
        <f t="shared" si="3"/>
        <v>0</v>
      </c>
    </row>
    <row r="216" spans="1:5" ht="24.95">
      <c r="A216" s="53" t="str">
        <f>Kriteeristö!U216</f>
        <v>, L:, E:, S:, TS:</v>
      </c>
      <c r="B216" s="38">
        <f>Kriteeristö!L216</f>
        <v>0</v>
      </c>
      <c r="C216" s="53" t="str">
        <f>_xlfn.CONCAT('Hankintaehtojen määrittely'!C216,CHAR(10),'Hankintaehtojen määrittely'!D216)</f>
        <v xml:space="preserve">0
</v>
      </c>
      <c r="D216" s="38">
        <f>'Hankintaehtojen määrittely'!G216</f>
        <v>0</v>
      </c>
      <c r="E216" s="57">
        <f t="shared" si="3"/>
        <v>0</v>
      </c>
    </row>
    <row r="217" spans="1:5" ht="24.95">
      <c r="A217" s="53" t="str">
        <f>Kriteeristö!U217</f>
        <v>, L:, E:, S:, TS:</v>
      </c>
      <c r="B217" s="38">
        <f>Kriteeristö!L217</f>
        <v>0</v>
      </c>
      <c r="C217" s="53" t="str">
        <f>_xlfn.CONCAT('Hankintaehtojen määrittely'!C217,CHAR(10),'Hankintaehtojen määrittely'!D217)</f>
        <v xml:space="preserve">0
</v>
      </c>
      <c r="D217" s="38">
        <f>'Hankintaehtojen määrittely'!G217</f>
        <v>0</v>
      </c>
      <c r="E217" s="57">
        <f t="shared" si="3"/>
        <v>0</v>
      </c>
    </row>
    <row r="218" spans="1:5" ht="24.95">
      <c r="A218" s="53" t="str">
        <f>Kriteeristö!U218</f>
        <v>, L:, E:, S:, TS:</v>
      </c>
      <c r="B218" s="38">
        <f>Kriteeristö!L218</f>
        <v>0</v>
      </c>
      <c r="C218" s="53" t="str">
        <f>_xlfn.CONCAT('Hankintaehtojen määrittely'!C218,CHAR(10),'Hankintaehtojen määrittely'!D218)</f>
        <v xml:space="preserve">0
</v>
      </c>
      <c r="D218" s="38">
        <f>'Hankintaehtojen määrittely'!G218</f>
        <v>0</v>
      </c>
      <c r="E218" s="57">
        <f t="shared" si="3"/>
        <v>0</v>
      </c>
    </row>
    <row r="219" spans="1:5" ht="24.95">
      <c r="A219" s="53" t="str">
        <f>Kriteeristö!U219</f>
        <v>, L:, E:, S:, TS:</v>
      </c>
      <c r="B219" s="38">
        <f>Kriteeristö!L219</f>
        <v>0</v>
      </c>
      <c r="C219" s="53" t="str">
        <f>_xlfn.CONCAT('Hankintaehtojen määrittely'!C219,CHAR(10),'Hankintaehtojen määrittely'!D219)</f>
        <v xml:space="preserve">0
</v>
      </c>
      <c r="D219" s="38">
        <f>'Hankintaehtojen määrittely'!G219</f>
        <v>0</v>
      </c>
      <c r="E219" s="57">
        <f t="shared" si="3"/>
        <v>0</v>
      </c>
    </row>
    <row r="220" spans="1:5" ht="24.95">
      <c r="A220" s="53" t="str">
        <f>Kriteeristö!U220</f>
        <v>, L:, E:, S:, TS:</v>
      </c>
      <c r="B220" s="38">
        <f>Kriteeristö!L220</f>
        <v>0</v>
      </c>
      <c r="C220" s="53" t="str">
        <f>_xlfn.CONCAT('Hankintaehtojen määrittely'!C220,CHAR(10),'Hankintaehtojen määrittely'!D220)</f>
        <v xml:space="preserve">0
</v>
      </c>
      <c r="D220" s="38">
        <f>'Hankintaehtojen määrittely'!G220</f>
        <v>0</v>
      </c>
      <c r="E220" s="57">
        <f t="shared" si="3"/>
        <v>0</v>
      </c>
    </row>
    <row r="221" spans="1:5" ht="24.95">
      <c r="A221" s="53" t="str">
        <f>Kriteeristö!U221</f>
        <v>, L:, E:, S:, TS:</v>
      </c>
      <c r="B221" s="38">
        <f>Kriteeristö!L221</f>
        <v>0</v>
      </c>
      <c r="C221" s="53" t="str">
        <f>_xlfn.CONCAT('Hankintaehtojen määrittely'!C221,CHAR(10),'Hankintaehtojen määrittely'!D221)</f>
        <v xml:space="preserve">0
</v>
      </c>
      <c r="D221" s="38">
        <f>'Hankintaehtojen määrittely'!G221</f>
        <v>0</v>
      </c>
      <c r="E221" s="57">
        <f t="shared" si="3"/>
        <v>0</v>
      </c>
    </row>
    <row r="222" spans="1:5" ht="24.95">
      <c r="A222" s="53" t="str">
        <f>Kriteeristö!U222</f>
        <v>, L:, E:, S:, TS:</v>
      </c>
      <c r="B222" s="38">
        <f>Kriteeristö!L222</f>
        <v>0</v>
      </c>
      <c r="C222" s="53" t="str">
        <f>_xlfn.CONCAT('Hankintaehtojen määrittely'!C222,CHAR(10),'Hankintaehtojen määrittely'!D222)</f>
        <v xml:space="preserve">0
</v>
      </c>
      <c r="D222" s="38">
        <f>'Hankintaehtojen määrittely'!G222</f>
        <v>0</v>
      </c>
      <c r="E222" s="57">
        <f t="shared" si="3"/>
        <v>0</v>
      </c>
    </row>
    <row r="223" spans="1:5" ht="24.95">
      <c r="A223" s="53" t="str">
        <f>Kriteeristö!U223</f>
        <v>, L:, E:, S:, TS:</v>
      </c>
      <c r="B223" s="38">
        <f>Kriteeristö!L223</f>
        <v>0</v>
      </c>
      <c r="C223" s="53" t="str">
        <f>_xlfn.CONCAT('Hankintaehtojen määrittely'!C223,CHAR(10),'Hankintaehtojen määrittely'!D223)</f>
        <v xml:space="preserve">0
</v>
      </c>
      <c r="D223" s="38">
        <f>'Hankintaehtojen määrittely'!G223</f>
        <v>0</v>
      </c>
      <c r="E223" s="57">
        <f t="shared" si="3"/>
        <v>0</v>
      </c>
    </row>
    <row r="224" spans="1:5">
      <c r="A224" s="36"/>
      <c r="B224" s="38">
        <f>Kriteeristö!L224</f>
        <v>0</v>
      </c>
      <c r="C224" s="53" t="str">
        <f>_xlfn.CONCAT('Hankintaehtojen määrittely'!C224,'Hankintaehtojen määrittely'!D224)</f>
        <v/>
      </c>
      <c r="D224" s="29"/>
    </row>
    <row r="225" spans="1:4">
      <c r="A225" s="36"/>
      <c r="B225" s="38">
        <f>Kriteeristö!L225</f>
        <v>0</v>
      </c>
      <c r="C225" s="53" t="str">
        <f>_xlfn.CONCAT('Hankintaehtojen määrittely'!C225,'Hankintaehtojen määrittely'!D225)</f>
        <v/>
      </c>
      <c r="D225" s="29"/>
    </row>
    <row r="226" spans="1:4">
      <c r="A226" s="36"/>
      <c r="B226" s="38">
        <f>Kriteeristö!L226</f>
        <v>0</v>
      </c>
      <c r="C226" s="53" t="str">
        <f>_xlfn.CONCAT('Hankintaehtojen määrittely'!C226,'Hankintaehtojen määrittely'!D226)</f>
        <v/>
      </c>
      <c r="D226" s="29"/>
    </row>
    <row r="227" spans="1:4">
      <c r="A227" s="36"/>
      <c r="B227" s="38">
        <f>Kriteeristö!L227</f>
        <v>0</v>
      </c>
      <c r="C227" s="53" t="str">
        <f>_xlfn.CONCAT('Hankintaehtojen määrittely'!C227,'Hankintaehtojen määrittely'!D227)</f>
        <v/>
      </c>
      <c r="D227" s="29"/>
    </row>
    <row r="228" spans="1:4">
      <c r="A228" s="36"/>
      <c r="B228" s="38">
        <f>Kriteeristö!L228</f>
        <v>0</v>
      </c>
      <c r="C228" s="53" t="str">
        <f>_xlfn.CONCAT('Hankintaehtojen määrittely'!C228,'Hankintaehtojen määrittely'!D228)</f>
        <v/>
      </c>
      <c r="D228" s="29"/>
    </row>
    <row r="229" spans="1:4">
      <c r="A229" s="36"/>
      <c r="B229" s="38">
        <f>Kriteeristö!L229</f>
        <v>0</v>
      </c>
      <c r="C229" s="53" t="str">
        <f>_xlfn.CONCAT('Hankintaehtojen määrittely'!C229,'Hankintaehtojen määrittely'!D229)</f>
        <v/>
      </c>
      <c r="D229" s="29"/>
    </row>
    <row r="230" spans="1:4">
      <c r="A230" s="36"/>
      <c r="B230" s="38">
        <f>Kriteeristö!L230</f>
        <v>0</v>
      </c>
      <c r="C230" s="53" t="str">
        <f>_xlfn.CONCAT('Hankintaehtojen määrittely'!C230,'Hankintaehtojen määrittely'!D230)</f>
        <v/>
      </c>
      <c r="D230" s="29"/>
    </row>
    <row r="231" spans="1:4">
      <c r="A231" s="36"/>
      <c r="B231" s="38">
        <f>Kriteeristö!L231</f>
        <v>0</v>
      </c>
      <c r="C231" s="53" t="str">
        <f>_xlfn.CONCAT('Hankintaehtojen määrittely'!C231,'Hankintaehtojen määrittely'!D231)</f>
        <v/>
      </c>
      <c r="D231" s="29"/>
    </row>
    <row r="232" spans="1:4">
      <c r="A232" s="36"/>
      <c r="B232" s="38">
        <f>Kriteeristö!L232</f>
        <v>0</v>
      </c>
      <c r="C232" s="53" t="str">
        <f>_xlfn.CONCAT('Hankintaehtojen määrittely'!C232,'Hankintaehtojen määrittely'!D232)</f>
        <v/>
      </c>
      <c r="D232" s="29"/>
    </row>
    <row r="233" spans="1:4">
      <c r="A233" s="36"/>
      <c r="B233" s="38">
        <f>Kriteeristö!L233</f>
        <v>0</v>
      </c>
      <c r="C233" s="53" t="str">
        <f>_xlfn.CONCAT('Hankintaehtojen määrittely'!C233,'Hankintaehtojen määrittely'!D233)</f>
        <v/>
      </c>
      <c r="D233" s="29"/>
    </row>
    <row r="234" spans="1:4">
      <c r="A234" s="36"/>
      <c r="B234" s="38">
        <f>Kriteeristö!L234</f>
        <v>0</v>
      </c>
      <c r="C234" s="53" t="str">
        <f>_xlfn.CONCAT('Hankintaehtojen määrittely'!C234,'Hankintaehtojen määrittely'!D234)</f>
        <v/>
      </c>
      <c r="D234" s="29"/>
    </row>
    <row r="235" spans="1:4">
      <c r="A235" s="36"/>
      <c r="B235" s="38">
        <f>Kriteeristö!L235</f>
        <v>0</v>
      </c>
      <c r="C235" s="53" t="str">
        <f>_xlfn.CONCAT('Hankintaehtojen määrittely'!C235,'Hankintaehtojen määrittely'!D235)</f>
        <v/>
      </c>
      <c r="D235" s="29"/>
    </row>
    <row r="236" spans="1:4">
      <c r="A236" s="36"/>
      <c r="B236" s="38">
        <f>Kriteeristö!L236</f>
        <v>0</v>
      </c>
      <c r="C236" s="36"/>
      <c r="D236" s="29"/>
    </row>
    <row r="237" spans="1:4">
      <c r="A237" s="36"/>
      <c r="C237" s="36"/>
      <c r="D237" s="29"/>
    </row>
    <row r="238" spans="1:4">
      <c r="A238" s="36"/>
      <c r="C238" s="36"/>
      <c r="D238" s="29"/>
    </row>
    <row r="239" spans="1:4">
      <c r="A239" s="36"/>
      <c r="C239" s="36"/>
      <c r="D239" s="29"/>
    </row>
    <row r="240" spans="1:4">
      <c r="A240" s="36"/>
      <c r="C240" s="36"/>
      <c r="D240" s="29"/>
    </row>
    <row r="241" spans="1:4">
      <c r="A241" s="36"/>
      <c r="C241" s="36"/>
      <c r="D241" s="29"/>
    </row>
    <row r="242" spans="1:4">
      <c r="A242" s="36"/>
      <c r="C242" s="36"/>
      <c r="D242" s="29"/>
    </row>
    <row r="243" spans="1:4">
      <c r="A243" s="36"/>
      <c r="C243" s="36"/>
      <c r="D243" s="29"/>
    </row>
    <row r="244" spans="1:4">
      <c r="A244" s="36"/>
      <c r="C244" s="36"/>
      <c r="D244" s="29"/>
    </row>
    <row r="245" spans="1:4">
      <c r="A245" s="36"/>
      <c r="C245" s="36"/>
      <c r="D245" s="29"/>
    </row>
    <row r="246" spans="1:4">
      <c r="A246" s="36"/>
      <c r="C246" s="36"/>
      <c r="D246" s="29"/>
    </row>
    <row r="247" spans="1:4">
      <c r="A247" s="36"/>
      <c r="C247" s="36"/>
      <c r="D247" s="29"/>
    </row>
    <row r="248" spans="1:4">
      <c r="A248" s="36"/>
      <c r="C248" s="36"/>
      <c r="D248" s="29"/>
    </row>
    <row r="249" spans="1:4">
      <c r="A249" s="36"/>
      <c r="C249" s="36"/>
      <c r="D249" s="29"/>
    </row>
    <row r="250" spans="1:4">
      <c r="A250" s="36"/>
      <c r="C250" s="36"/>
      <c r="D250" s="29"/>
    </row>
    <row r="251" spans="1:4">
      <c r="A251" s="36"/>
      <c r="C251" s="36"/>
      <c r="D251" s="29"/>
    </row>
    <row r="252" spans="1:4">
      <c r="A252" s="36"/>
      <c r="C252" s="36"/>
      <c r="D252" s="29"/>
    </row>
    <row r="253" spans="1:4">
      <c r="A253" s="36"/>
      <c r="C253" s="36"/>
      <c r="D253" s="29"/>
    </row>
    <row r="254" spans="1:4">
      <c r="A254" s="36"/>
      <c r="C254" s="36"/>
      <c r="D254" s="29"/>
    </row>
    <row r="255" spans="1:4">
      <c r="A255" s="36"/>
      <c r="C255" s="36"/>
      <c r="D255" s="29"/>
    </row>
    <row r="256" spans="1:4">
      <c r="A256" s="36"/>
      <c r="C256" s="36"/>
      <c r="D256" s="29"/>
    </row>
    <row r="257" spans="1:4">
      <c r="A257" s="36"/>
      <c r="C257" s="36"/>
      <c r="D257" s="29"/>
    </row>
    <row r="258" spans="1:4">
      <c r="A258" s="36"/>
      <c r="C258" s="36"/>
      <c r="D258" s="29"/>
    </row>
    <row r="259" spans="1:4">
      <c r="A259" s="36"/>
      <c r="C259" s="36"/>
      <c r="D259" s="29"/>
    </row>
    <row r="260" spans="1:4">
      <c r="A260" s="36"/>
      <c r="C260" s="36"/>
      <c r="D260" s="29"/>
    </row>
    <row r="261" spans="1:4">
      <c r="A261" s="36"/>
      <c r="C261" s="36"/>
      <c r="D261" s="29"/>
    </row>
    <row r="262" spans="1:4">
      <c r="A262" s="36"/>
      <c r="C262" s="36"/>
      <c r="D262" s="29"/>
    </row>
    <row r="263" spans="1:4">
      <c r="A263" s="36"/>
      <c r="C263" s="36"/>
      <c r="D263" s="29"/>
    </row>
    <row r="264" spans="1:4">
      <c r="A264" s="36"/>
      <c r="C264" s="36"/>
      <c r="D264" s="29"/>
    </row>
    <row r="265" spans="1:4">
      <c r="A265" s="36"/>
      <c r="C265" s="36"/>
      <c r="D265" s="29"/>
    </row>
    <row r="266" spans="1:4">
      <c r="A266" s="36"/>
      <c r="C266" s="36"/>
      <c r="D266" s="29"/>
    </row>
    <row r="267" spans="1:4">
      <c r="A267" s="36"/>
      <c r="C267" s="36"/>
      <c r="D267" s="29"/>
    </row>
    <row r="268" spans="1:4">
      <c r="A268" s="36"/>
      <c r="C268" s="36"/>
      <c r="D268" s="29"/>
    </row>
    <row r="269" spans="1:4">
      <c r="A269" s="36"/>
      <c r="C269" s="36"/>
      <c r="D269" s="29"/>
    </row>
    <row r="270" spans="1:4">
      <c r="A270" s="36"/>
      <c r="C270" s="36"/>
      <c r="D270" s="29"/>
    </row>
    <row r="271" spans="1:4">
      <c r="A271" s="36"/>
      <c r="C271" s="36"/>
      <c r="D271" s="29"/>
    </row>
    <row r="272" spans="1:4">
      <c r="A272" s="36"/>
      <c r="C272" s="36"/>
      <c r="D272" s="29"/>
    </row>
    <row r="273" spans="1:4">
      <c r="A273" s="36"/>
      <c r="C273" s="36"/>
      <c r="D273" s="29"/>
    </row>
    <row r="274" spans="1:4">
      <c r="A274" s="36"/>
      <c r="C274" s="36"/>
      <c r="D274" s="29"/>
    </row>
    <row r="275" spans="1:4">
      <c r="A275" s="36"/>
      <c r="C275" s="36"/>
      <c r="D275" s="29"/>
    </row>
    <row r="276" spans="1:4">
      <c r="A276" s="36"/>
      <c r="C276" s="36"/>
      <c r="D276" s="29"/>
    </row>
    <row r="277" spans="1:4">
      <c r="A277" s="36"/>
      <c r="C277" s="36"/>
      <c r="D277" s="29"/>
    </row>
    <row r="278" spans="1:4">
      <c r="A278" s="36"/>
      <c r="C278" s="36"/>
      <c r="D278" s="29"/>
    </row>
    <row r="279" spans="1:4">
      <c r="A279" s="36"/>
      <c r="C279" s="36"/>
      <c r="D279" s="29"/>
    </row>
    <row r="280" spans="1:4">
      <c r="A280" s="36"/>
      <c r="C280" s="36"/>
      <c r="D280" s="29"/>
    </row>
    <row r="281" spans="1:4">
      <c r="A281" s="36"/>
      <c r="C281" s="36"/>
      <c r="D281" s="29"/>
    </row>
    <row r="282" spans="1:4">
      <c r="A282" s="36"/>
      <c r="C282" s="36"/>
      <c r="D282" s="29"/>
    </row>
    <row r="283" spans="1:4">
      <c r="A283" s="36"/>
      <c r="C283" s="36"/>
      <c r="D283" s="29"/>
    </row>
    <row r="284" spans="1:4">
      <c r="A284" s="36"/>
      <c r="C284" s="36"/>
      <c r="D284" s="29"/>
    </row>
    <row r="285" spans="1:4">
      <c r="A285" s="36"/>
      <c r="C285" s="36"/>
      <c r="D285" s="29"/>
    </row>
    <row r="286" spans="1:4">
      <c r="A286" s="36"/>
      <c r="C286" s="36"/>
      <c r="D286" s="29"/>
    </row>
    <row r="287" spans="1:4">
      <c r="A287" s="36"/>
      <c r="C287" s="36"/>
      <c r="D287" s="29"/>
    </row>
    <row r="288" spans="1:4">
      <c r="A288" s="36"/>
      <c r="C288" s="36"/>
      <c r="D288" s="29"/>
    </row>
    <row r="289" spans="1:4">
      <c r="A289" s="36"/>
      <c r="C289" s="36"/>
      <c r="D289" s="29"/>
    </row>
    <row r="290" spans="1:4">
      <c r="A290" s="36"/>
      <c r="C290" s="36"/>
      <c r="D290" s="29"/>
    </row>
    <row r="291" spans="1:4">
      <c r="A291" s="36"/>
      <c r="C291" s="36"/>
      <c r="D291" s="29"/>
    </row>
    <row r="292" spans="1:4">
      <c r="A292" s="36"/>
      <c r="C292" s="36"/>
      <c r="D292" s="29"/>
    </row>
    <row r="293" spans="1:4">
      <c r="A293" s="36"/>
      <c r="C293" s="36"/>
      <c r="D293" s="29"/>
    </row>
    <row r="294" spans="1:4">
      <c r="A294" s="36"/>
      <c r="C294" s="36"/>
      <c r="D294" s="29"/>
    </row>
    <row r="295" spans="1:4">
      <c r="A295" s="36"/>
      <c r="C295" s="36"/>
      <c r="D295" s="29"/>
    </row>
    <row r="296" spans="1:4">
      <c r="A296" s="36"/>
      <c r="C296" s="36"/>
      <c r="D296" s="29"/>
    </row>
    <row r="297" spans="1:4">
      <c r="A297" s="36"/>
      <c r="C297" s="36"/>
      <c r="D297" s="29"/>
    </row>
    <row r="298" spans="1:4">
      <c r="A298" s="36"/>
      <c r="C298" s="36"/>
      <c r="D298" s="29"/>
    </row>
    <row r="299" spans="1:4">
      <c r="A299" s="36"/>
      <c r="C299" s="36"/>
      <c r="D299" s="29"/>
    </row>
    <row r="300" spans="1:4">
      <c r="A300" s="36"/>
      <c r="C300" s="36"/>
      <c r="D300" s="29"/>
    </row>
    <row r="301" spans="1:4">
      <c r="A301" s="36"/>
      <c r="C301" s="36"/>
      <c r="D301" s="29"/>
    </row>
    <row r="302" spans="1:4">
      <c r="A302" s="36"/>
      <c r="C302" s="36"/>
      <c r="D302" s="29"/>
    </row>
    <row r="303" spans="1:4">
      <c r="A303" s="36"/>
      <c r="C303" s="36"/>
      <c r="D303" s="29"/>
    </row>
    <row r="304" spans="1:4">
      <c r="A304" s="36"/>
      <c r="C304" s="36"/>
      <c r="D304" s="29"/>
    </row>
    <row r="305" spans="1:4">
      <c r="A305" s="36"/>
      <c r="C305" s="36"/>
      <c r="D305" s="29"/>
    </row>
    <row r="306" spans="1:4">
      <c r="A306" s="36"/>
      <c r="C306" s="36"/>
      <c r="D306" s="29"/>
    </row>
    <row r="307" spans="1:4">
      <c r="A307" s="36"/>
      <c r="C307" s="36"/>
      <c r="D307" s="29"/>
    </row>
    <row r="308" spans="1:4">
      <c r="A308" s="36"/>
      <c r="C308" s="36"/>
      <c r="D308" s="29"/>
    </row>
    <row r="309" spans="1:4">
      <c r="A309" s="36"/>
      <c r="C309" s="36"/>
      <c r="D309" s="29"/>
    </row>
    <row r="310" spans="1:4">
      <c r="A310" s="36"/>
      <c r="C310" s="36"/>
      <c r="D310" s="29"/>
    </row>
    <row r="311" spans="1:4">
      <c r="A311" s="36"/>
      <c r="C311" s="36"/>
      <c r="D311" s="29"/>
    </row>
    <row r="312" spans="1:4">
      <c r="A312" s="36"/>
      <c r="C312" s="36"/>
      <c r="D312" s="29"/>
    </row>
    <row r="313" spans="1:4">
      <c r="A313" s="36"/>
      <c r="C313" s="36"/>
      <c r="D313" s="29"/>
    </row>
    <row r="314" spans="1:4">
      <c r="A314" s="36"/>
      <c r="C314" s="36"/>
      <c r="D314" s="29"/>
    </row>
    <row r="315" spans="1:4">
      <c r="A315" s="36"/>
      <c r="C315" s="36"/>
      <c r="D315" s="29"/>
    </row>
    <row r="316" spans="1:4">
      <c r="A316" s="36"/>
      <c r="C316" s="36"/>
      <c r="D316" s="29"/>
    </row>
    <row r="317" spans="1:4">
      <c r="A317" s="36"/>
      <c r="C317" s="36"/>
      <c r="D317" s="29"/>
    </row>
    <row r="318" spans="1:4">
      <c r="A318" s="36"/>
      <c r="C318" s="36"/>
      <c r="D318" s="29"/>
    </row>
    <row r="319" spans="1:4">
      <c r="A319" s="36"/>
      <c r="C319" s="36"/>
      <c r="D319" s="29"/>
    </row>
    <row r="320" spans="1:4">
      <c r="A320" s="36"/>
      <c r="C320" s="36"/>
      <c r="D320" s="29"/>
    </row>
    <row r="321" spans="1:4">
      <c r="A321" s="36"/>
      <c r="C321" s="36"/>
      <c r="D321" s="29"/>
    </row>
    <row r="322" spans="1:4">
      <c r="A322" s="36"/>
      <c r="C322" s="36"/>
      <c r="D322" s="29"/>
    </row>
    <row r="323" spans="1:4">
      <c r="A323" s="36"/>
      <c r="C323" s="36"/>
      <c r="D323" s="29"/>
    </row>
    <row r="324" spans="1:4">
      <c r="A324" s="36"/>
      <c r="C324" s="36"/>
      <c r="D324" s="29"/>
    </row>
    <row r="325" spans="1:4">
      <c r="A325" s="36"/>
      <c r="C325" s="36"/>
      <c r="D325" s="29"/>
    </row>
    <row r="326" spans="1:4">
      <c r="A326" s="36"/>
      <c r="C326" s="36"/>
      <c r="D326" s="29"/>
    </row>
    <row r="327" spans="1:4">
      <c r="A327" s="36"/>
      <c r="C327" s="36"/>
      <c r="D327" s="29"/>
    </row>
    <row r="328" spans="1:4">
      <c r="A328" s="36"/>
      <c r="C328" s="36"/>
      <c r="D328" s="29"/>
    </row>
    <row r="329" spans="1:4">
      <c r="A329" s="36"/>
      <c r="C329" s="36"/>
      <c r="D329" s="29"/>
    </row>
    <row r="330" spans="1:4">
      <c r="A330" s="36"/>
      <c r="C330" s="36"/>
      <c r="D330" s="29"/>
    </row>
    <row r="331" spans="1:4">
      <c r="A331" s="36"/>
      <c r="C331" s="36"/>
      <c r="D331" s="29"/>
    </row>
    <row r="332" spans="1:4">
      <c r="A332" s="36"/>
      <c r="C332" s="36"/>
      <c r="D332" s="29"/>
    </row>
    <row r="333" spans="1:4">
      <c r="A333" s="36"/>
      <c r="C333" s="36"/>
      <c r="D333" s="29"/>
    </row>
    <row r="334" spans="1:4">
      <c r="A334" s="36"/>
      <c r="C334" s="36"/>
      <c r="D334" s="29"/>
    </row>
    <row r="335" spans="1:4">
      <c r="A335" s="36"/>
      <c r="C335" s="36"/>
      <c r="D335" s="29"/>
    </row>
    <row r="336" spans="1:4">
      <c r="A336" s="36"/>
      <c r="C336" s="36"/>
      <c r="D336" s="29"/>
    </row>
    <row r="337" spans="1:4">
      <c r="A337" s="36"/>
      <c r="C337" s="36"/>
      <c r="D337" s="29"/>
    </row>
    <row r="338" spans="1:4">
      <c r="A338" s="36"/>
      <c r="C338" s="36"/>
      <c r="D338" s="29"/>
    </row>
    <row r="339" spans="1:4">
      <c r="A339" s="36"/>
      <c r="C339" s="36"/>
      <c r="D339" s="29"/>
    </row>
    <row r="340" spans="1:4">
      <c r="A340" s="36"/>
      <c r="C340" s="36"/>
      <c r="D340" s="29"/>
    </row>
    <row r="341" spans="1:4">
      <c r="A341" s="36"/>
      <c r="C341" s="36"/>
      <c r="D341" s="29"/>
    </row>
    <row r="342" spans="1:4">
      <c r="A342" s="36"/>
      <c r="C342" s="36"/>
      <c r="D342" s="29"/>
    </row>
    <row r="343" spans="1:4">
      <c r="A343" s="36"/>
      <c r="C343" s="36"/>
      <c r="D343" s="29"/>
    </row>
    <row r="344" spans="1:4">
      <c r="A344" s="36"/>
      <c r="C344" s="36"/>
      <c r="D344" s="29"/>
    </row>
    <row r="345" spans="1:4">
      <c r="A345" s="36"/>
      <c r="C345" s="36"/>
      <c r="D345" s="29"/>
    </row>
    <row r="346" spans="1:4">
      <c r="A346" s="36"/>
      <c r="C346" s="36"/>
      <c r="D346" s="29"/>
    </row>
    <row r="347" spans="1:4">
      <c r="A347" s="36"/>
      <c r="C347" s="36"/>
      <c r="D347" s="29"/>
    </row>
    <row r="348" spans="1:4">
      <c r="A348" s="36"/>
      <c r="C348" s="36"/>
      <c r="D348" s="29"/>
    </row>
    <row r="349" spans="1:4">
      <c r="A349" s="36"/>
      <c r="C349" s="36"/>
      <c r="D349" s="29"/>
    </row>
    <row r="350" spans="1:4">
      <c r="A350" s="36"/>
      <c r="C350" s="36"/>
      <c r="D350" s="29"/>
    </row>
    <row r="351" spans="1:4">
      <c r="A351" s="36"/>
      <c r="C351" s="36"/>
      <c r="D351" s="29"/>
    </row>
    <row r="352" spans="1:4">
      <c r="A352" s="36"/>
      <c r="C352" s="36"/>
      <c r="D352" s="29"/>
    </row>
    <row r="353" spans="1:4">
      <c r="A353" s="36"/>
      <c r="C353" s="36"/>
      <c r="D353" s="29"/>
    </row>
    <row r="354" spans="1:4">
      <c r="A354" s="36"/>
      <c r="C354" s="36"/>
      <c r="D354" s="29"/>
    </row>
    <row r="355" spans="1:4">
      <c r="A355" s="36"/>
      <c r="C355" s="36"/>
      <c r="D355" s="29"/>
    </row>
    <row r="356" spans="1:4">
      <c r="A356" s="36"/>
      <c r="C356" s="36"/>
      <c r="D356" s="29"/>
    </row>
    <row r="357" spans="1:4">
      <c r="A357" s="36"/>
      <c r="C357" s="36"/>
      <c r="D357" s="29"/>
    </row>
    <row r="358" spans="1:4">
      <c r="A358" s="36"/>
      <c r="C358" s="36"/>
      <c r="D358" s="29"/>
    </row>
    <row r="359" spans="1:4">
      <c r="A359" s="36"/>
      <c r="C359" s="36"/>
      <c r="D359" s="29"/>
    </row>
    <row r="360" spans="1:4">
      <c r="A360" s="36"/>
      <c r="C360" s="36"/>
      <c r="D360" s="29"/>
    </row>
    <row r="361" spans="1:4">
      <c r="A361" s="36"/>
      <c r="C361" s="36"/>
      <c r="D361" s="29"/>
    </row>
    <row r="362" spans="1:4">
      <c r="A362" s="36"/>
      <c r="C362" s="36"/>
      <c r="D362" s="29"/>
    </row>
    <row r="363" spans="1:4">
      <c r="A363" s="36"/>
      <c r="C363" s="36"/>
      <c r="D363" s="29"/>
    </row>
    <row r="364" spans="1:4">
      <c r="A364" s="36"/>
      <c r="C364" s="36"/>
      <c r="D364" s="29"/>
    </row>
    <row r="365" spans="1:4">
      <c r="A365" s="36"/>
      <c r="C365" s="36"/>
      <c r="D365" s="29"/>
    </row>
    <row r="366" spans="1:4">
      <c r="A366" s="36"/>
      <c r="C366" s="36"/>
      <c r="D366" s="29"/>
    </row>
    <row r="367" spans="1:4">
      <c r="A367" s="36"/>
      <c r="C367" s="36"/>
      <c r="D367" s="29"/>
    </row>
    <row r="368" spans="1:4">
      <c r="A368" s="36"/>
      <c r="C368" s="36"/>
      <c r="D368" s="29"/>
    </row>
    <row r="369" spans="1:4">
      <c r="A369" s="36"/>
      <c r="C369" s="36"/>
      <c r="D369" s="29"/>
    </row>
    <row r="370" spans="1:4">
      <c r="A370" s="36"/>
      <c r="C370" s="36"/>
      <c r="D370" s="29"/>
    </row>
    <row r="371" spans="1:4">
      <c r="A371" s="36"/>
      <c r="C371" s="36"/>
      <c r="D371" s="29"/>
    </row>
    <row r="372" spans="1:4">
      <c r="A372" s="36"/>
      <c r="C372" s="36"/>
      <c r="D372" s="29"/>
    </row>
    <row r="373" spans="1:4">
      <c r="A373" s="36"/>
      <c r="C373" s="36"/>
      <c r="D373" s="29"/>
    </row>
    <row r="374" spans="1:4">
      <c r="A374" s="36"/>
      <c r="C374" s="36"/>
      <c r="D374" s="29"/>
    </row>
    <row r="375" spans="1:4">
      <c r="A375" s="36"/>
      <c r="C375" s="36"/>
      <c r="D375" s="29"/>
    </row>
    <row r="376" spans="1:4">
      <c r="A376" s="36"/>
      <c r="C376" s="36"/>
      <c r="D376" s="29"/>
    </row>
    <row r="377" spans="1:4">
      <c r="A377" s="36"/>
      <c r="C377" s="36"/>
      <c r="D377" s="29"/>
    </row>
    <row r="378" spans="1:4">
      <c r="A378" s="36"/>
      <c r="C378" s="36"/>
      <c r="D378" s="29"/>
    </row>
    <row r="379" spans="1:4">
      <c r="A379" s="36"/>
      <c r="C379" s="36"/>
      <c r="D379" s="29"/>
    </row>
    <row r="380" spans="1:4">
      <c r="A380" s="36"/>
      <c r="C380" s="36"/>
      <c r="D380" s="29"/>
    </row>
    <row r="381" spans="1:4">
      <c r="A381" s="36"/>
      <c r="C381" s="36"/>
      <c r="D381" s="29"/>
    </row>
    <row r="382" spans="1:4">
      <c r="A382" s="36"/>
      <c r="C382" s="36"/>
      <c r="D382" s="29"/>
    </row>
    <row r="383" spans="1:4">
      <c r="A383" s="36"/>
      <c r="C383" s="36"/>
      <c r="D383" s="29"/>
    </row>
    <row r="384" spans="1:4">
      <c r="A384" s="36"/>
      <c r="C384" s="36"/>
      <c r="D384" s="29"/>
    </row>
    <row r="385" spans="1:4">
      <c r="A385" s="36"/>
      <c r="C385" s="36"/>
      <c r="D385" s="29"/>
    </row>
    <row r="386" spans="1:4">
      <c r="A386" s="36"/>
      <c r="C386" s="36"/>
      <c r="D386" s="29"/>
    </row>
    <row r="387" spans="1:4">
      <c r="A387" s="36"/>
      <c r="C387" s="36"/>
      <c r="D387" s="29"/>
    </row>
    <row r="388" spans="1:4">
      <c r="A388" s="36"/>
      <c r="C388" s="36"/>
      <c r="D388" s="29"/>
    </row>
    <row r="389" spans="1:4">
      <c r="A389" s="36"/>
      <c r="C389" s="36"/>
      <c r="D389" s="29"/>
    </row>
    <row r="390" spans="1:4">
      <c r="A390" s="36"/>
      <c r="C390" s="36"/>
      <c r="D390" s="29"/>
    </row>
    <row r="391" spans="1:4">
      <c r="A391" s="36"/>
      <c r="C391" s="36"/>
      <c r="D391" s="29"/>
    </row>
    <row r="392" spans="1:4">
      <c r="A392" s="36"/>
      <c r="C392" s="36"/>
      <c r="D392" s="29"/>
    </row>
    <row r="393" spans="1:4">
      <c r="A393" s="36"/>
      <c r="C393" s="36"/>
      <c r="D393" s="29"/>
    </row>
    <row r="394" spans="1:4">
      <c r="A394" s="36"/>
      <c r="C394" s="36"/>
      <c r="D394" s="29"/>
    </row>
    <row r="395" spans="1:4">
      <c r="A395" s="36"/>
      <c r="C395" s="36"/>
      <c r="D395" s="29"/>
    </row>
    <row r="396" spans="1:4">
      <c r="A396" s="36"/>
      <c r="C396" s="36"/>
      <c r="D396" s="29"/>
    </row>
    <row r="397" spans="1:4">
      <c r="A397" s="36"/>
      <c r="C397" s="36"/>
      <c r="D397" s="29"/>
    </row>
    <row r="398" spans="1:4">
      <c r="A398" s="36"/>
      <c r="C398" s="36"/>
      <c r="D398" s="29"/>
    </row>
    <row r="399" spans="1:4">
      <c r="A399" s="36"/>
      <c r="C399" s="36"/>
      <c r="D399" s="29"/>
    </row>
    <row r="400" spans="1:4">
      <c r="A400" s="36"/>
      <c r="C400" s="36"/>
      <c r="D400" s="29"/>
    </row>
    <row r="401" spans="1:4">
      <c r="A401" s="36"/>
      <c r="C401" s="36"/>
      <c r="D401" s="29"/>
    </row>
    <row r="402" spans="1:4">
      <c r="A402" s="36"/>
      <c r="C402" s="36"/>
      <c r="D402" s="29"/>
    </row>
    <row r="403" spans="1:4">
      <c r="A403" s="36"/>
      <c r="C403" s="36"/>
      <c r="D403" s="29"/>
    </row>
    <row r="404" spans="1:4">
      <c r="A404" s="36"/>
      <c r="C404" s="36"/>
      <c r="D404" s="29"/>
    </row>
    <row r="405" spans="1:4">
      <c r="A405" s="36"/>
      <c r="C405" s="36"/>
      <c r="D405" s="29"/>
    </row>
    <row r="406" spans="1:4">
      <c r="A406" s="36"/>
      <c r="C406" s="36"/>
      <c r="D406" s="29"/>
    </row>
    <row r="407" spans="1:4">
      <c r="A407" s="36"/>
      <c r="C407" s="36"/>
      <c r="D407" s="29"/>
    </row>
    <row r="408" spans="1:4">
      <c r="A408" s="36"/>
      <c r="C408" s="36"/>
      <c r="D408" s="29"/>
    </row>
    <row r="409" spans="1:4">
      <c r="A409" s="36"/>
      <c r="C409" s="36"/>
      <c r="D409" s="29"/>
    </row>
    <row r="410" spans="1:4">
      <c r="A410" s="36"/>
      <c r="C410" s="36"/>
      <c r="D410" s="29"/>
    </row>
    <row r="411" spans="1:4">
      <c r="A411" s="36"/>
      <c r="C411" s="36"/>
      <c r="D411" s="29"/>
    </row>
    <row r="412" spans="1:4">
      <c r="A412" s="36"/>
      <c r="C412" s="36"/>
      <c r="D412" s="29"/>
    </row>
    <row r="413" spans="1:4">
      <c r="A413" s="36"/>
      <c r="C413" s="36"/>
      <c r="D413" s="29"/>
    </row>
    <row r="414" spans="1:4">
      <c r="A414" s="36"/>
      <c r="C414" s="36"/>
      <c r="D414" s="29"/>
    </row>
    <row r="415" spans="1:4">
      <c r="A415" s="36"/>
      <c r="C415" s="36"/>
      <c r="D415" s="29"/>
    </row>
    <row r="416" spans="1:4">
      <c r="A416" s="36"/>
      <c r="C416" s="36"/>
      <c r="D416" s="29"/>
    </row>
    <row r="417" spans="1:4">
      <c r="A417" s="36"/>
      <c r="C417" s="36"/>
      <c r="D417" s="29"/>
    </row>
    <row r="418" spans="1:4">
      <c r="A418" s="36"/>
      <c r="C418" s="36"/>
      <c r="D418" s="29"/>
    </row>
    <row r="419" spans="1:4">
      <c r="A419" s="36"/>
      <c r="C419" s="36"/>
      <c r="D419" s="29"/>
    </row>
    <row r="420" spans="1:4">
      <c r="A420" s="36"/>
      <c r="C420" s="36"/>
      <c r="D420" s="29"/>
    </row>
    <row r="421" spans="1:4">
      <c r="A421" s="36"/>
      <c r="C421" s="36"/>
      <c r="D421" s="29"/>
    </row>
    <row r="422" spans="1:4">
      <c r="A422" s="36"/>
      <c r="C422" s="36"/>
      <c r="D422" s="29"/>
    </row>
    <row r="423" spans="1:4">
      <c r="A423" s="36"/>
      <c r="C423" s="36"/>
      <c r="D423" s="29"/>
    </row>
    <row r="424" spans="1:4">
      <c r="A424" s="36"/>
      <c r="C424" s="36"/>
      <c r="D424" s="29"/>
    </row>
    <row r="425" spans="1:4">
      <c r="A425" s="36"/>
      <c r="C425" s="36"/>
      <c r="D425" s="29"/>
    </row>
    <row r="426" spans="1:4">
      <c r="A426" s="36"/>
      <c r="C426" s="36"/>
      <c r="D426" s="29"/>
    </row>
    <row r="427" spans="1:4">
      <c r="A427" s="36"/>
      <c r="C427" s="36"/>
      <c r="D427" s="29"/>
    </row>
    <row r="428" spans="1:4">
      <c r="A428" s="36"/>
      <c r="C428" s="36"/>
      <c r="D428" s="29"/>
    </row>
    <row r="429" spans="1:4">
      <c r="A429" s="36"/>
      <c r="C429" s="36"/>
      <c r="D429" s="29"/>
    </row>
    <row r="430" spans="1:4">
      <c r="A430" s="36"/>
      <c r="C430" s="36"/>
      <c r="D430" s="29"/>
    </row>
    <row r="431" spans="1:4">
      <c r="A431" s="36"/>
      <c r="C431" s="36"/>
      <c r="D431" s="29"/>
    </row>
    <row r="432" spans="1:4">
      <c r="A432" s="36"/>
      <c r="C432" s="36"/>
      <c r="D432" s="29"/>
    </row>
    <row r="433" spans="1:4">
      <c r="A433" s="36"/>
      <c r="C433" s="36"/>
      <c r="D433" s="29"/>
    </row>
    <row r="434" spans="1:4">
      <c r="A434" s="36"/>
      <c r="C434" s="36"/>
      <c r="D434" s="29"/>
    </row>
    <row r="435" spans="1:4">
      <c r="A435" s="36"/>
      <c r="C435" s="36"/>
      <c r="D435" s="29"/>
    </row>
    <row r="436" spans="1:4">
      <c r="A436" s="36"/>
      <c r="C436" s="36"/>
      <c r="D436" s="29"/>
    </row>
    <row r="437" spans="1:4">
      <c r="A437" s="36"/>
      <c r="C437" s="36"/>
      <c r="D437" s="29"/>
    </row>
    <row r="438" spans="1:4">
      <c r="A438" s="36"/>
      <c r="C438" s="36"/>
      <c r="D438" s="29"/>
    </row>
    <row r="439" spans="1:4">
      <c r="A439" s="36"/>
      <c r="C439" s="36"/>
      <c r="D439" s="29"/>
    </row>
    <row r="440" spans="1:4">
      <c r="A440" s="36"/>
      <c r="C440" s="36"/>
      <c r="D440" s="29"/>
    </row>
    <row r="441" spans="1:4">
      <c r="A441" s="36"/>
      <c r="C441" s="36"/>
      <c r="D441" s="29"/>
    </row>
    <row r="442" spans="1:4">
      <c r="A442" s="36"/>
      <c r="C442" s="36"/>
      <c r="D442" s="29"/>
    </row>
    <row r="443" spans="1:4">
      <c r="A443" s="36"/>
      <c r="C443" s="36"/>
      <c r="D443" s="29"/>
    </row>
    <row r="444" spans="1:4">
      <c r="A444" s="36"/>
      <c r="C444" s="36"/>
      <c r="D444" s="29"/>
    </row>
    <row r="445" spans="1:4">
      <c r="A445" s="36"/>
      <c r="C445" s="36"/>
      <c r="D445" s="29"/>
    </row>
    <row r="446" spans="1:4">
      <c r="A446" s="36"/>
      <c r="C446" s="36"/>
      <c r="D446" s="29"/>
    </row>
    <row r="447" spans="1:4">
      <c r="A447" s="36"/>
      <c r="C447" s="36"/>
      <c r="D447" s="29"/>
    </row>
    <row r="448" spans="1:4">
      <c r="A448" s="36"/>
      <c r="C448" s="36"/>
      <c r="D448" s="29"/>
    </row>
    <row r="449" spans="1:4">
      <c r="A449" s="36"/>
      <c r="C449" s="36"/>
      <c r="D449" s="29"/>
    </row>
    <row r="450" spans="1:4">
      <c r="A450" s="36"/>
      <c r="C450" s="36"/>
      <c r="D450" s="29"/>
    </row>
    <row r="451" spans="1:4">
      <c r="A451" s="36"/>
      <c r="C451" s="36"/>
      <c r="D451" s="29"/>
    </row>
    <row r="452" spans="1:4">
      <c r="A452" s="36"/>
      <c r="C452" s="36"/>
      <c r="D452" s="29"/>
    </row>
    <row r="453" spans="1:4">
      <c r="A453" s="36"/>
      <c r="C453" s="36"/>
      <c r="D453" s="29"/>
    </row>
    <row r="454" spans="1:4">
      <c r="A454" s="36"/>
      <c r="C454" s="36"/>
      <c r="D454" s="29"/>
    </row>
    <row r="455" spans="1:4">
      <c r="A455" s="36"/>
      <c r="C455" s="36"/>
      <c r="D455" s="29"/>
    </row>
    <row r="456" spans="1:4">
      <c r="A456" s="36"/>
      <c r="C456" s="36"/>
      <c r="D456" s="29"/>
    </row>
    <row r="457" spans="1:4">
      <c r="A457" s="36"/>
      <c r="C457" s="36"/>
      <c r="D457" s="29"/>
    </row>
    <row r="458" spans="1:4">
      <c r="A458" s="36"/>
      <c r="C458" s="36"/>
      <c r="D458" s="29"/>
    </row>
    <row r="459" spans="1:4">
      <c r="A459" s="36"/>
      <c r="C459" s="36"/>
      <c r="D459" s="29"/>
    </row>
    <row r="460" spans="1:4">
      <c r="A460" s="36"/>
      <c r="C460" s="36"/>
      <c r="D460" s="29"/>
    </row>
    <row r="461" spans="1:4">
      <c r="A461" s="36"/>
      <c r="C461" s="36"/>
      <c r="D461" s="29"/>
    </row>
    <row r="462" spans="1:4">
      <c r="A462" s="36"/>
      <c r="C462" s="36"/>
      <c r="D462" s="29"/>
    </row>
    <row r="463" spans="1:4">
      <c r="A463" s="36"/>
      <c r="C463" s="36"/>
      <c r="D463" s="29"/>
    </row>
    <row r="464" spans="1:4">
      <c r="A464" s="36"/>
      <c r="C464" s="36"/>
      <c r="D464" s="29"/>
    </row>
    <row r="465" spans="1:4">
      <c r="A465" s="36"/>
      <c r="C465" s="36"/>
      <c r="D465" s="29"/>
    </row>
    <row r="466" spans="1:4">
      <c r="A466" s="36"/>
      <c r="C466" s="36"/>
      <c r="D466" s="29"/>
    </row>
    <row r="467" spans="1:4">
      <c r="A467" s="36"/>
      <c r="C467" s="36"/>
      <c r="D467" s="29"/>
    </row>
    <row r="468" spans="1:4">
      <c r="A468" s="36"/>
      <c r="C468" s="36"/>
      <c r="D468" s="29"/>
    </row>
    <row r="469" spans="1:4">
      <c r="A469" s="36"/>
      <c r="C469" s="36"/>
      <c r="D469" s="29"/>
    </row>
    <row r="470" spans="1:4">
      <c r="A470" s="36"/>
      <c r="C470" s="36"/>
      <c r="D470" s="29"/>
    </row>
    <row r="471" spans="1:4">
      <c r="A471" s="36"/>
      <c r="C471" s="36"/>
      <c r="D471" s="29"/>
    </row>
    <row r="472" spans="1:4">
      <c r="A472" s="36"/>
      <c r="C472" s="36"/>
      <c r="D472" s="29"/>
    </row>
    <row r="473" spans="1:4">
      <c r="A473" s="36"/>
      <c r="C473" s="36"/>
      <c r="D473" s="29"/>
    </row>
    <row r="474" spans="1:4">
      <c r="A474" s="36"/>
      <c r="C474" s="36"/>
      <c r="D474" s="29"/>
    </row>
    <row r="475" spans="1:4">
      <c r="A475" s="36"/>
      <c r="C475" s="36"/>
      <c r="D475" s="29"/>
    </row>
    <row r="476" spans="1:4">
      <c r="A476" s="36"/>
      <c r="C476" s="36"/>
      <c r="D476" s="29"/>
    </row>
    <row r="477" spans="1:4">
      <c r="A477" s="36"/>
      <c r="C477" s="36"/>
      <c r="D477" s="29"/>
    </row>
    <row r="478" spans="1:4">
      <c r="A478" s="36"/>
      <c r="C478" s="36"/>
      <c r="D478" s="29"/>
    </row>
    <row r="479" spans="1:4">
      <c r="A479" s="36"/>
      <c r="C479" s="36"/>
      <c r="D479" s="29"/>
    </row>
    <row r="480" spans="1:4">
      <c r="A480" s="36"/>
      <c r="C480" s="36"/>
      <c r="D480" s="29"/>
    </row>
    <row r="481" spans="1:4">
      <c r="A481" s="36"/>
      <c r="C481" s="36"/>
      <c r="D481" s="29"/>
    </row>
    <row r="482" spans="1:4">
      <c r="A482" s="36"/>
      <c r="C482" s="36"/>
      <c r="D482" s="29"/>
    </row>
    <row r="483" spans="1:4">
      <c r="A483" s="36"/>
      <c r="C483" s="36"/>
      <c r="D483" s="29"/>
    </row>
    <row r="484" spans="1:4">
      <c r="A484" s="36"/>
      <c r="C484" s="36"/>
      <c r="D484" s="29"/>
    </row>
    <row r="485" spans="1:4">
      <c r="A485" s="36"/>
      <c r="C485" s="36"/>
      <c r="D485" s="29"/>
    </row>
    <row r="486" spans="1:4">
      <c r="A486" s="36"/>
      <c r="C486" s="36"/>
      <c r="D486" s="29"/>
    </row>
    <row r="487" spans="1:4">
      <c r="A487" s="36"/>
      <c r="C487" s="36"/>
      <c r="D487" s="29"/>
    </row>
    <row r="488" spans="1:4">
      <c r="A488" s="36"/>
      <c r="C488" s="36"/>
      <c r="D488" s="29"/>
    </row>
    <row r="489" spans="1:4">
      <c r="A489" s="36"/>
      <c r="C489" s="36"/>
      <c r="D489" s="29"/>
    </row>
    <row r="490" spans="1:4">
      <c r="A490" s="36"/>
      <c r="C490" s="36"/>
      <c r="D490" s="29"/>
    </row>
    <row r="491" spans="1:4">
      <c r="A491" s="36"/>
      <c r="C491" s="36"/>
      <c r="D491" s="29"/>
    </row>
    <row r="492" spans="1:4">
      <c r="A492" s="36"/>
      <c r="C492" s="36"/>
      <c r="D492" s="29"/>
    </row>
    <row r="493" spans="1:4">
      <c r="A493" s="36"/>
      <c r="C493" s="36"/>
      <c r="D493" s="29"/>
    </row>
    <row r="494" spans="1:4">
      <c r="A494" s="36"/>
      <c r="C494" s="36"/>
      <c r="D494" s="29"/>
    </row>
    <row r="495" spans="1:4">
      <c r="A495" s="36"/>
      <c r="C495" s="36"/>
      <c r="D495" s="29"/>
    </row>
    <row r="496" spans="1:4">
      <c r="A496" s="36"/>
      <c r="C496" s="36"/>
      <c r="D496" s="29"/>
    </row>
    <row r="497" spans="1:4">
      <c r="A497" s="36"/>
      <c r="C497" s="36"/>
      <c r="D497" s="29"/>
    </row>
    <row r="498" spans="1:4">
      <c r="A498" s="36"/>
      <c r="C498" s="36"/>
      <c r="D498" s="29"/>
    </row>
    <row r="499" spans="1:4">
      <c r="A499" s="36"/>
      <c r="C499" s="36"/>
      <c r="D499" s="29"/>
    </row>
    <row r="500" spans="1:4">
      <c r="A500" s="36"/>
      <c r="C500" s="36"/>
      <c r="D500" s="29"/>
    </row>
    <row r="501" spans="1:4">
      <c r="A501" s="36"/>
      <c r="C501" s="36"/>
      <c r="D501" s="29"/>
    </row>
  </sheetData>
  <sheetProtection formatCells="0" formatColumns="0" formatRows="0"/>
  <autoFilter ref="D1:D501" xr:uid="{DA5F35FB-67EA-494F-94E7-4671FF9B8D05}"/>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B742B-14E7-4BAB-9D28-0098B1CD9F27}">
  <dimension ref="A1:M13"/>
  <sheetViews>
    <sheetView workbookViewId="0" xr3:uid="{DF5FC303-A70A-56DF-A02F-9FCEB8E9B167}">
      <selection activeCell="L9" sqref="L9"/>
    </sheetView>
  </sheetViews>
  <sheetFormatPr defaultColWidth="8.7109375" defaultRowHeight="12.6"/>
  <cols>
    <col min="1" max="1" width="32.42578125" customWidth="1"/>
    <col min="2" max="3" width="19.5703125" customWidth="1"/>
    <col min="4" max="4" width="19.140625" customWidth="1"/>
    <col min="6" max="6" width="11.42578125" customWidth="1"/>
    <col min="7" max="7" width="12.85546875" customWidth="1"/>
    <col min="8" max="8" width="15.7109375" bestFit="1" customWidth="1"/>
    <col min="10" max="11" width="17.5703125" style="3" customWidth="1"/>
    <col min="12" max="12" width="22.42578125" customWidth="1"/>
    <col min="13" max="13" width="17.140625" customWidth="1"/>
  </cols>
  <sheetData>
    <row r="1" spans="1:13" s="3" customFormat="1" ht="39">
      <c r="A1" s="19" t="s">
        <v>1385</v>
      </c>
      <c r="B1" s="19" t="s">
        <v>232</v>
      </c>
      <c r="C1" s="19" t="s">
        <v>233</v>
      </c>
      <c r="D1" s="19" t="s">
        <v>225</v>
      </c>
      <c r="E1" s="19" t="s">
        <v>226</v>
      </c>
      <c r="F1" s="19" t="s">
        <v>227</v>
      </c>
      <c r="G1" s="19" t="s">
        <v>36</v>
      </c>
      <c r="H1" s="19" t="s">
        <v>1386</v>
      </c>
      <c r="I1" s="19" t="s">
        <v>1387</v>
      </c>
      <c r="J1" s="19" t="s">
        <v>1388</v>
      </c>
      <c r="K1" s="19" t="s">
        <v>1389</v>
      </c>
      <c r="L1" s="19" t="s">
        <v>1390</v>
      </c>
      <c r="M1" s="19" t="s">
        <v>1391</v>
      </c>
    </row>
    <row r="2" spans="1:13" ht="12.95">
      <c r="A2" s="1"/>
      <c r="B2" s="2" t="s">
        <v>511</v>
      </c>
      <c r="C2" s="2" t="s">
        <v>512</v>
      </c>
      <c r="D2" t="s">
        <v>25</v>
      </c>
      <c r="E2" t="s">
        <v>27</v>
      </c>
      <c r="F2" t="s">
        <v>27</v>
      </c>
      <c r="G2" s="2" t="s">
        <v>260</v>
      </c>
      <c r="H2" s="2">
        <v>1</v>
      </c>
      <c r="I2" t="s">
        <v>33</v>
      </c>
      <c r="J2" s="20" t="s">
        <v>1392</v>
      </c>
      <c r="K2" s="3">
        <v>1</v>
      </c>
      <c r="L2" s="2" t="s">
        <v>1393</v>
      </c>
      <c r="M2" s="2" t="s">
        <v>33</v>
      </c>
    </row>
    <row r="3" spans="1:13" ht="37.5">
      <c r="A3" s="2" t="s">
        <v>32</v>
      </c>
      <c r="B3" s="2" t="s">
        <v>1394</v>
      </c>
      <c r="C3" s="2" t="s">
        <v>773</v>
      </c>
      <c r="D3" t="s">
        <v>276</v>
      </c>
      <c r="E3" t="s">
        <v>964</v>
      </c>
      <c r="F3" t="s">
        <v>964</v>
      </c>
      <c r="G3" s="2" t="s">
        <v>278</v>
      </c>
      <c r="H3" s="2">
        <v>2</v>
      </c>
      <c r="J3" s="3" t="s">
        <v>1395</v>
      </c>
      <c r="K3" s="3">
        <v>2</v>
      </c>
      <c r="L3" s="2" t="s">
        <v>1396</v>
      </c>
      <c r="M3" s="2" t="s">
        <v>1397</v>
      </c>
    </row>
    <row r="4" spans="1:13">
      <c r="A4" s="2" t="s">
        <v>34</v>
      </c>
      <c r="B4" s="2" t="s">
        <v>781</v>
      </c>
      <c r="C4" s="2" t="s">
        <v>1398</v>
      </c>
      <c r="D4" t="s">
        <v>554</v>
      </c>
      <c r="E4" t="s">
        <v>277</v>
      </c>
      <c r="F4" t="s">
        <v>277</v>
      </c>
      <c r="H4">
        <v>3</v>
      </c>
      <c r="J4" s="20" t="s">
        <v>30</v>
      </c>
      <c r="K4" s="3">
        <v>-99</v>
      </c>
      <c r="L4" s="2"/>
    </row>
    <row r="5" spans="1:13">
      <c r="A5" s="2" t="s">
        <v>35</v>
      </c>
      <c r="D5" t="s">
        <v>446</v>
      </c>
      <c r="E5" t="s">
        <v>406</v>
      </c>
      <c r="F5" t="s">
        <v>406</v>
      </c>
      <c r="H5">
        <v>4</v>
      </c>
      <c r="M5" s="2"/>
    </row>
    <row r="6" spans="1:13">
      <c r="A6" s="2" t="s">
        <v>36</v>
      </c>
      <c r="D6" t="s">
        <v>571</v>
      </c>
      <c r="H6">
        <v>5</v>
      </c>
    </row>
    <row r="7" spans="1:13">
      <c r="A7" s="2" t="s">
        <v>37</v>
      </c>
      <c r="D7" t="s">
        <v>543</v>
      </c>
      <c r="H7">
        <v>6</v>
      </c>
    </row>
    <row r="8" spans="1:13">
      <c r="A8" s="2"/>
    </row>
    <row r="9" spans="1:13">
      <c r="A9" s="2"/>
    </row>
    <row r="11" spans="1:13">
      <c r="D11" s="2"/>
    </row>
    <row r="12" spans="1:13">
      <c r="D12" s="2"/>
    </row>
    <row r="13" spans="1:13">
      <c r="D13"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FC273FBDB1AAC448BDBB3CA1302F22C6" ma:contentTypeVersion="3" ma:contentTypeDescription="Luo uusi asiakirja." ma:contentTypeScope="" ma:versionID="3cf92efc90fd97c5548b5b3f6d259d45">
  <xsd:schema xmlns:xsd="http://www.w3.org/2001/XMLSchema" xmlns:xs="http://www.w3.org/2001/XMLSchema" xmlns:p="http://schemas.microsoft.com/office/2006/metadata/properties" xmlns:ns2="ebb82943-49da-4504-a2f3-a33fb2eb95f1" targetNamespace="http://schemas.microsoft.com/office/2006/metadata/properties" ma:root="true" ma:fieldsID="73a7f945de27690f0e5612b79736f6f4"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77C283-A435-430B-9E62-C4A852ACB324}"/>
</file>

<file path=customXml/itemProps2.xml><?xml version="1.0" encoding="utf-8"?>
<ds:datastoreItem xmlns:ds="http://schemas.openxmlformats.org/officeDocument/2006/customXml" ds:itemID="{4A65D73E-C108-4900-9239-998F21EA51D5}"/>
</file>

<file path=customXml/itemProps3.xml><?xml version="1.0" encoding="utf-8"?>
<ds:datastoreItem xmlns:ds="http://schemas.openxmlformats.org/officeDocument/2006/customXml" ds:itemID="{41DFD8B4-0EF4-4D49-A562-22B86C045D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2015-01-28T12:13:45Z</dcterms:created>
  <dcterms:modified xsi:type="dcterms:W3CDTF">2023-02-20T12:49:25Z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0x010100FC273FBDB1AAC448BDBB3CA1302F22C6</vt:lpwstr>
  </property>
</Properties>
</file>